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205"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BS_Hist_TA!$B$1</definedName>
    <definedName name="Alt_Chk_11_Hdg">Fcast_TA!$C$79</definedName>
    <definedName name="Alt_Chk_12_Hdg">Fcast_TA!$B$106</definedName>
    <definedName name="Alt_Chk_14_Hdg">BS_Fcast_TO!$B$1</definedName>
    <definedName name="Alt_Chk_15_Hdg">Fcast_OP_TO!$C$117</definedName>
    <definedName name="Alt_Chk_2_Hdg">BS_Hist_TO!$B$1</definedName>
    <definedName name="Alt_Chk_4_Hdg">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Cover!$C$9</definedName>
    <definedName name="BPM_TC_2" hidden="1">Cover!$C$11</definedName>
    <definedName name="BPM_TC_3" hidden="1">Contents!$B$1</definedName>
    <definedName name="BPM_TC_4" hidden="1">Contents!$B$6</definedName>
    <definedName name="BPM_TC_5" hidden="1">Contents!$B$16</definedName>
    <definedName name="BPM_TC_6" hidden="1">Contents!$B$31</definedName>
    <definedName name="BPM_TC_7" hidden="1">Overview_SC!$C$10</definedName>
    <definedName name="BPM_TC_8" hidden="1">IS_Hist_TA!$C$41</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Fcast_OP_TO!$B$158</definedName>
    <definedName name="Err_Chk_11_Hdg">IS_Fcast_TO!$B$1</definedName>
    <definedName name="Err_Chk_13_Hdg">BS_Fcast_TO!$B$1</definedName>
    <definedName name="Err_Chk_14_Hdg">CFS_Fcast_TO!$B$1</definedName>
    <definedName name="Err_Chk_15_Hdg">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BS_Hist_TA!$H$73</definedName>
    <definedName name="HL_Alt_Chk_14">BS_Fcast_TO!$I$72</definedName>
    <definedName name="HL_Alt_Chk_15">Fcast_OP_TO!$I$138</definedName>
    <definedName name="HL_Alt_Chk_2">BS_Hist_TO!$H$74</definedName>
    <definedName name="HL_Err_Chk">Checks_BO!$B$7</definedName>
    <definedName name="HL_Err_Chk_1" hidden="1">Fcast_OP_TO!$I$42</definedName>
    <definedName name="HL_Err_Chk_11">IS_Fcast_TO!$I$41</definedName>
    <definedName name="HL_Err_Chk_13">BS_Fcast_TO!$I$70</definedName>
    <definedName name="HL_Err_Chk_14">CFS_Fcast_TO!$I$114</definedName>
    <definedName name="HL_Err_Chk_15">Fcast_OP_TO!$I$136</definedName>
    <definedName name="HL_Err_Chk_16">CFS_Fcast_TO!$I$114</definedName>
    <definedName name="HL_Err_Chk_2" hidden="1">Fcast_OP_TO!$I$59</definedName>
    <definedName name="HL_Err_Chk_3" hidden="1">Fcast_OP_TO!$I$74</definedName>
    <definedName name="HL_Err_Chk_4" hidden="1">Fcast_OP_TO!$I$86</definedName>
    <definedName name="HL_Err_Chk_7">Fcast_OP_TO!$I$59</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BS_All_TO!$B$1:$Q$80</definedName>
    <definedName name="_xlnm.Print_Area" localSheetId="24">BS_Fcast_TO!$B$1:$Q$78</definedName>
    <definedName name="_xlnm.Print_Area" localSheetId="12">BS_Hist_TA!$B$1:$Q$79</definedName>
    <definedName name="_xlnm.Print_Area" localSheetId="19">BS_Hist_TO!$B$1:$Q$79</definedName>
    <definedName name="_xlnm.Print_Area" localSheetId="31">BS_Sum_P_MS!$B$1:$AN$64</definedName>
    <definedName name="_xlnm.Print_Area" localSheetId="37">Capital_LU!$B$1:$G$13</definedName>
    <definedName name="_xlnm.Print_Area" localSheetId="29">CFS_All_TO!$B$1:$Q$61</definedName>
    <definedName name="_xlnm.Print_Area" localSheetId="25">CFS_Fcast_TO!$B$1:$Q$120</definedName>
    <definedName name="_xlnm.Print_Area" localSheetId="13">CFS_Hist_TA!$B$1:$Q$57</definedName>
    <definedName name="_xlnm.Print_Area" localSheetId="20">CFS_Hist_TO!$B$1:$Q$56</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IS_All_TO!$B$1:$Q$46</definedName>
    <definedName name="_xlnm.Print_Area" localSheetId="23">IS_Fcast_TO!$B$1:$Q$47</definedName>
    <definedName name="_xlnm.Print_Area" localSheetId="11">IS_Hist_TA!$B$1:$Q$46</definedName>
    <definedName name="_xlnm.Print_Area" localSheetId="18">IS_Hist_TO!$B$1:$Q$45</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Keys_BO!$2:$6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"|B|TO|B||T|Proj|T||N|1|N||FTSCN|10|FTSCN||TSP|10|TSP|"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"|B|TO|B||T|Proj|T||N|1|N||FTSCN|10|FTSCN||TSP|10|TSP|"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"|B|TO|B||T|Proj|T||N|1|N||FTSCN|10|FTSCN||TSP|10|TSP|"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58" i="203"/>
  <c r="C57"/>
  <c r="C77" i="202"/>
  <c r="C76"/>
  <c r="C42" i="201"/>
  <c r="C41"/>
  <c r="C53" i="197"/>
  <c r="C53" i="192"/>
  <c r="C75" i="191"/>
  <c r="C76" i="196"/>
  <c r="C41" i="195"/>
  <c r="C41" i="190"/>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L44"/>
  <c r="K44"/>
  <c r="J44"/>
  <c r="I44"/>
  <c r="Q33"/>
  <c r="P33"/>
  <c r="O33"/>
  <c r="N33"/>
  <c r="M33"/>
  <c r="L33"/>
  <c r="K33"/>
  <c r="J33"/>
  <c r="I33"/>
  <c r="Q25"/>
  <c r="P25"/>
  <c r="O25"/>
  <c r="N25"/>
  <c r="M25"/>
  <c r="L25"/>
  <c r="K25"/>
  <c r="J25"/>
  <c r="I25"/>
  <c r="I71"/>
  <c r="D48" i="197"/>
  <c r="Q49" i="192"/>
  <c r="P49"/>
  <c r="O49"/>
  <c r="N49"/>
  <c r="M49"/>
  <c r="L49"/>
  <c r="K49"/>
  <c r="J49"/>
  <c r="D60" i="202"/>
  <c r="B39" i="180" s="1"/>
  <c r="D100" i="163"/>
  <c r="D85"/>
  <c r="D139" i="193"/>
  <c r="C210" i="199" s="1"/>
  <c r="E63" i="196"/>
  <c r="D60"/>
  <c r="D61" i="203"/>
  <c r="D49"/>
  <c r="D47"/>
  <c r="D39"/>
  <c r="D31"/>
  <c r="D28"/>
  <c r="D27"/>
  <c r="D80" i="202"/>
  <c r="C80"/>
  <c r="C79"/>
  <c r="D66"/>
  <c r="B40" i="180" s="1"/>
  <c r="D59" i="202"/>
  <c r="B38" i="180" s="1"/>
  <c r="C57" i="202"/>
  <c r="C55"/>
  <c r="C53"/>
  <c r="D50"/>
  <c r="D49"/>
  <c r="D48"/>
  <c r="C46"/>
  <c r="D43"/>
  <c r="D42"/>
  <c r="D41"/>
  <c r="D40"/>
  <c r="D39"/>
  <c r="C37"/>
  <c r="C35"/>
  <c r="D32"/>
  <c r="D31"/>
  <c r="D30"/>
  <c r="D29"/>
  <c r="C27"/>
  <c r="D24"/>
  <c r="D23"/>
  <c r="D22"/>
  <c r="C18"/>
  <c r="I17"/>
  <c r="B16"/>
  <c r="C46" i="201"/>
  <c r="D45"/>
  <c r="C45"/>
  <c r="C44"/>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I35" l="1"/>
  <c r="K35"/>
  <c r="M35"/>
  <c r="O35"/>
  <c r="Q35"/>
  <c r="I53"/>
  <c r="K53"/>
  <c r="M53"/>
  <c r="O53"/>
  <c r="Q53"/>
  <c r="P53"/>
  <c r="I33" i="196"/>
  <c r="I44"/>
  <c r="I25"/>
  <c r="I51"/>
  <c r="J35" i="191"/>
  <c r="L35"/>
  <c r="N35"/>
  <c r="P35"/>
  <c r="P55" s="1"/>
  <c r="P62" s="1"/>
  <c r="P63" s="1"/>
  <c r="P65" s="1"/>
  <c r="P67" s="1"/>
  <c r="J53"/>
  <c r="L53"/>
  <c r="N53"/>
  <c r="J8" i="203"/>
  <c r="O55" i="191" l="1"/>
  <c r="M55"/>
  <c r="M62" s="1"/>
  <c r="M63" s="1"/>
  <c r="M65" s="1"/>
  <c r="M67" s="1"/>
  <c r="I55"/>
  <c r="I62" s="1"/>
  <c r="I63" s="1"/>
  <c r="Q55"/>
  <c r="K55"/>
  <c r="K62" s="1"/>
  <c r="K63" s="1"/>
  <c r="K65" s="1"/>
  <c r="I35" i="196"/>
  <c r="I53"/>
  <c r="Q62" i="191"/>
  <c r="Q63" s="1"/>
  <c r="Q65" s="1"/>
  <c r="Q67" s="1"/>
  <c r="Q68" s="1"/>
  <c r="Q69" s="1"/>
  <c r="O62"/>
  <c r="O63" s="1"/>
  <c r="O65" s="1"/>
  <c r="O67" s="1"/>
  <c r="O68" s="1"/>
  <c r="O69" s="1"/>
  <c r="L55"/>
  <c r="L62" s="1"/>
  <c r="L63" s="1"/>
  <c r="L65" s="1"/>
  <c r="N55"/>
  <c r="J55"/>
  <c r="J62" s="1"/>
  <c r="J63" s="1"/>
  <c r="J65" s="1"/>
  <c r="P68"/>
  <c r="P69" s="1"/>
  <c r="L67"/>
  <c r="K67"/>
  <c r="I72"/>
  <c r="I73" s="1"/>
  <c r="I65" l="1"/>
  <c r="I67" s="1"/>
  <c r="I68" s="1"/>
  <c r="I69" s="1"/>
  <c r="I64" i="196"/>
  <c r="I66" s="1"/>
  <c r="I55"/>
  <c r="N62" i="191"/>
  <c r="N63" s="1"/>
  <c r="N65" s="1"/>
  <c r="N67" s="1"/>
  <c r="J67"/>
  <c r="K68"/>
  <c r="K69" s="1"/>
  <c r="M68"/>
  <c r="M69" s="1"/>
  <c r="J68"/>
  <c r="J69" s="1"/>
  <c r="L68"/>
  <c r="L69" s="1"/>
  <c r="I68" i="196" l="1"/>
  <c r="I69" s="1"/>
  <c r="N68" i="19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4"/>
  <c r="D165"/>
  <c r="D166"/>
  <c r="D167"/>
  <c r="D172"/>
  <c r="D179"/>
  <c r="C186"/>
  <c r="C192"/>
  <c r="C198"/>
  <c r="C204"/>
  <c r="D25" i="193"/>
  <c r="D62"/>
  <c r="D93" i="199" s="1"/>
  <c r="D81" i="193"/>
  <c r="D119" i="199" s="1"/>
  <c r="E95" i="193"/>
  <c r="E152" i="199" s="1"/>
  <c r="E96" i="193"/>
  <c r="E153" i="199" s="1"/>
  <c r="D67" l="1"/>
  <c r="D35" i="203"/>
  <c r="D163" i="199"/>
  <c r="E23" i="203"/>
  <c r="D79" i="199"/>
  <c r="D36" i="203"/>
  <c r="J20" i="202"/>
  <c r="I74"/>
  <c r="D47" i="197" l="1"/>
  <c r="D46"/>
  <c r="D45"/>
  <c r="D44"/>
  <c r="D43"/>
  <c r="C41"/>
  <c r="D38"/>
  <c r="D37"/>
  <c r="D36"/>
  <c r="D35"/>
  <c r="C33"/>
  <c r="D30"/>
  <c r="D29"/>
  <c r="D28"/>
  <c r="D27"/>
  <c r="D26"/>
  <c r="E25"/>
  <c r="E24"/>
  <c r="E23"/>
  <c r="D22"/>
  <c r="E21"/>
  <c r="E20"/>
  <c r="C18"/>
  <c r="B16"/>
  <c r="D56"/>
  <c r="C56"/>
  <c r="C55"/>
  <c r="C51"/>
  <c r="D79" i="196"/>
  <c r="D44" i="195"/>
  <c r="C79" i="196"/>
  <c r="C78"/>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5"/>
  <c r="C44"/>
  <c r="C43"/>
  <c r="C39"/>
  <c r="D37"/>
  <c r="C35"/>
  <c r="D33"/>
  <c r="C31"/>
  <c r="D29"/>
  <c r="E28"/>
  <c r="E27"/>
  <c r="C25"/>
  <c r="D23"/>
  <c r="C21"/>
  <c r="D19"/>
  <c r="D18"/>
  <c r="B16"/>
  <c r="D56" i="192"/>
  <c r="D78" i="191"/>
  <c r="D44"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l="1"/>
  <c r="P10" i="203" s="1"/>
  <c r="P13" s="1"/>
  <c r="J53" i="131"/>
  <c r="M45" i="135"/>
  <c r="I39" s="1"/>
  <c r="L10" i="202" l="1"/>
  <c r="L7" s="1"/>
  <c r="M10" i="203"/>
  <c r="J25" i="131"/>
  <c r="J9" i="203" s="1"/>
  <c r="K8" s="1"/>
  <c r="N10"/>
  <c r="K10" i="201"/>
  <c r="K7" s="1"/>
  <c r="P10"/>
  <c r="O10" i="202"/>
  <c r="O7" s="1"/>
  <c r="Q9"/>
  <c r="N9"/>
  <c r="O8" s="1"/>
  <c r="M9" i="203"/>
  <c r="N8" s="1"/>
  <c r="P9"/>
  <c r="Q8" s="1"/>
  <c r="K9" i="201"/>
  <c r="L8" s="1"/>
  <c r="P9"/>
  <c r="Q8" s="1"/>
  <c r="K9" i="203"/>
  <c r="L8" s="1"/>
  <c r="Q9"/>
  <c r="Q9" i="201"/>
  <c r="N9"/>
  <c r="O8" s="1"/>
  <c r="O10" i="203"/>
  <c r="N10" i="202"/>
  <c r="N7" s="1"/>
  <c r="J10"/>
  <c r="L9" i="203"/>
  <c r="M8" s="1"/>
  <c r="M10" i="201"/>
  <c r="Q10" i="202"/>
  <c r="Q7" s="1"/>
  <c r="P7" i="203"/>
  <c r="J24" i="131"/>
  <c r="P10" i="202"/>
  <c r="P7" s="1"/>
  <c r="O10" i="201"/>
  <c r="O7" s="1"/>
  <c r="Q10" i="203"/>
  <c r="Q7" s="1"/>
  <c r="J10"/>
  <c r="J7" s="1"/>
  <c r="K10" i="202"/>
  <c r="K7" s="1"/>
  <c r="L10" i="201"/>
  <c r="L7" s="1"/>
  <c r="K9" i="202"/>
  <c r="L8" s="1"/>
  <c r="O9" i="203"/>
  <c r="P8" s="1"/>
  <c r="O9" i="201"/>
  <c r="P8" s="1"/>
  <c r="L9"/>
  <c r="M8" s="1"/>
  <c r="P9" i="202"/>
  <c r="Q8" s="1"/>
  <c r="O9"/>
  <c r="P8" s="1"/>
  <c r="M9"/>
  <c r="N8" s="1"/>
  <c r="M9" i="201"/>
  <c r="N8" s="1"/>
  <c r="N9" i="203"/>
  <c r="O8" s="1"/>
  <c r="L9" i="202"/>
  <c r="M8" s="1"/>
  <c r="L10" i="203"/>
  <c r="L7" s="1"/>
  <c r="Q10" i="201"/>
  <c r="Q7" s="1"/>
  <c r="J10"/>
  <c r="J7" s="1"/>
  <c r="K10" i="203"/>
  <c r="K7" s="1"/>
  <c r="M10" i="202"/>
  <c r="M7" s="1"/>
  <c r="N10" i="201"/>
  <c r="N7" s="1"/>
  <c r="P13" i="202"/>
  <c r="O13" i="201"/>
  <c r="J13" i="203"/>
  <c r="L13" i="201"/>
  <c r="J9"/>
  <c r="K8" s="1"/>
  <c r="J9" i="202"/>
  <c r="K8" s="1"/>
  <c r="B7" i="203"/>
  <c r="N13"/>
  <c r="N7"/>
  <c r="L13" i="202"/>
  <c r="K13" i="201"/>
  <c r="M13" i="203"/>
  <c r="M7"/>
  <c r="O13" i="202"/>
  <c r="P13" i="201"/>
  <c r="P7"/>
  <c r="N13" i="202"/>
  <c r="M13" i="201"/>
  <c r="M7"/>
  <c r="O13" i="203"/>
  <c r="O7"/>
  <c r="Q13" i="202"/>
  <c r="J13"/>
  <c r="J7"/>
  <c r="J55" i="131"/>
  <c r="J54" s="1"/>
  <c r="J56" s="1"/>
  <c r="J58" s="1"/>
  <c r="I134" i="193"/>
  <c r="I89"/>
  <c r="I63"/>
  <c r="I48"/>
  <c r="I109"/>
  <c r="I82"/>
  <c r="I72"/>
  <c r="I53"/>
  <c r="I37"/>
  <c r="I32"/>
  <c r="J46" i="131"/>
  <c r="J47" s="1"/>
  <c r="I38" i="135"/>
  <c r="K13" i="203" l="1"/>
  <c r="N13" i="201"/>
  <c r="Q13"/>
  <c r="B7"/>
  <c r="AP7" i="180" s="1"/>
  <c r="B7" i="202"/>
  <c r="D18" i="182"/>
  <c r="BD7" i="180"/>
  <c r="D16" i="182"/>
  <c r="BB7" i="180"/>
  <c r="D19" i="182"/>
  <c r="BE7" i="180"/>
  <c r="D14" i="182"/>
  <c r="AZ7" i="180"/>
  <c r="D17" i="182"/>
  <c r="BC7" i="180"/>
  <c r="D12" i="182"/>
  <c r="AU32" i="180" s="1"/>
  <c r="AX7"/>
  <c r="D15" i="182"/>
  <c r="BA7" i="180"/>
  <c r="D13" i="182"/>
  <c r="AY7" i="180"/>
  <c r="J13" i="201"/>
  <c r="K13" i="202"/>
  <c r="Q13" i="203"/>
  <c r="M13" i="202"/>
  <c r="L13" i="203"/>
  <c r="Q46" i="180"/>
  <c r="Q26"/>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c r="J9" s="1"/>
  <c r="K12" s="1"/>
  <c r="B7" l="1"/>
  <c r="B6" i="163"/>
  <c r="B6" i="162"/>
  <c r="B6" i="161"/>
  <c r="B7" i="163"/>
  <c r="B7" i="162"/>
  <c r="B7" i="161"/>
  <c r="P12" i="163"/>
  <c r="N12"/>
  <c r="L12"/>
  <c r="L7" s="1"/>
  <c r="J12"/>
  <c r="J7" s="1"/>
  <c r="P12" i="162"/>
  <c r="N12"/>
  <c r="L12"/>
  <c r="L7" s="1"/>
  <c r="J12"/>
  <c r="J7" s="1"/>
  <c r="P12" i="161"/>
  <c r="N12"/>
  <c r="L12"/>
  <c r="L7" s="1"/>
  <c r="J12"/>
  <c r="J7" s="1"/>
  <c r="Q12" i="163"/>
  <c r="O12"/>
  <c r="M12"/>
  <c r="K12"/>
  <c r="K7" s="1"/>
  <c r="Q12" i="162"/>
  <c r="O12"/>
  <c r="M12"/>
  <c r="K12"/>
  <c r="K7" s="1"/>
  <c r="Q12" i="161"/>
  <c r="O12"/>
  <c r="M12"/>
  <c r="K12"/>
  <c r="K7" s="1"/>
  <c r="J11" i="192"/>
  <c r="J13" s="1"/>
  <c r="I60" i="202"/>
  <c r="O49"/>
  <c r="P31"/>
  <c r="O31"/>
  <c r="Q49"/>
  <c r="Q31"/>
  <c r="P49"/>
  <c r="I50"/>
  <c r="I48"/>
  <c r="I42"/>
  <c r="I40"/>
  <c r="I32"/>
  <c r="I30"/>
  <c r="I24"/>
  <c r="I49"/>
  <c r="I43"/>
  <c r="I41"/>
  <c r="I39"/>
  <c r="I31"/>
  <c r="I29"/>
  <c r="I23"/>
  <c r="I59"/>
  <c r="J71" i="191"/>
  <c r="J72"/>
  <c r="J63" i="196"/>
  <c r="J59"/>
  <c r="J49"/>
  <c r="J49" i="202" s="1"/>
  <c r="J43" i="196"/>
  <c r="J43" i="202" s="1"/>
  <c r="J41" i="196"/>
  <c r="J39"/>
  <c r="J39" i="202" s="1"/>
  <c r="J31" i="196"/>
  <c r="J31" i="202" s="1"/>
  <c r="J29" i="196"/>
  <c r="J29" i="202" s="1"/>
  <c r="J23" i="196"/>
  <c r="J20"/>
  <c r="J61"/>
  <c r="J60"/>
  <c r="J50"/>
  <c r="J48"/>
  <c r="J48" i="202" s="1"/>
  <c r="J42" i="196"/>
  <c r="J42" i="202" s="1"/>
  <c r="J40" i="196"/>
  <c r="J40" i="202" s="1"/>
  <c r="J32" i="196"/>
  <c r="J30"/>
  <c r="J30" i="202" s="1"/>
  <c r="J24" i="196"/>
  <c r="J24" i="202" s="1"/>
  <c r="J22" i="196"/>
  <c r="J72" s="1"/>
  <c r="J63" i="202"/>
  <c r="J60"/>
  <c r="N39" i="180" s="1"/>
  <c r="J10" i="190"/>
  <c r="J7" s="1"/>
  <c r="B7"/>
  <c r="J6" i="192"/>
  <c r="J11" i="190"/>
  <c r="B7" i="191"/>
  <c r="J61" i="162"/>
  <c r="J146" i="199" s="1"/>
  <c r="B7"/>
  <c r="B6" i="193"/>
  <c r="B6" i="199"/>
  <c r="B7" i="193"/>
  <c r="B6" i="197"/>
  <c r="B7" i="196"/>
  <c r="B6" i="195"/>
  <c r="B7" i="197"/>
  <c r="B6" i="196"/>
  <c r="B7" i="195"/>
  <c r="J41" i="202"/>
  <c r="J50"/>
  <c r="J32"/>
  <c r="J10" i="196"/>
  <c r="J7" s="1"/>
  <c r="J11"/>
  <c r="J23" i="202"/>
  <c r="J8" i="196"/>
  <c r="J9" s="1"/>
  <c r="K12" s="1"/>
  <c r="J73"/>
  <c r="J10" i="197"/>
  <c r="J7" s="1"/>
  <c r="J47"/>
  <c r="J46"/>
  <c r="J45"/>
  <c r="J44"/>
  <c r="J43"/>
  <c r="J38"/>
  <c r="J37"/>
  <c r="J36"/>
  <c r="J35"/>
  <c r="J30"/>
  <c r="J29"/>
  <c r="J28"/>
  <c r="J27"/>
  <c r="J25"/>
  <c r="J24"/>
  <c r="J23"/>
  <c r="J21"/>
  <c r="J20"/>
  <c r="J8"/>
  <c r="J9" s="1"/>
  <c r="K12" s="1"/>
  <c r="K48" s="1"/>
  <c r="J11"/>
  <c r="Q12" i="199"/>
  <c r="O12"/>
  <c r="M12"/>
  <c r="K12"/>
  <c r="K107" s="1"/>
  <c r="Q12" i="193"/>
  <c r="O12"/>
  <c r="M12"/>
  <c r="K12"/>
  <c r="P12" i="199"/>
  <c r="N12"/>
  <c r="L12"/>
  <c r="L107" s="1"/>
  <c r="J12"/>
  <c r="J107" s="1"/>
  <c r="P12" i="193"/>
  <c r="N12"/>
  <c r="L12"/>
  <c r="J12"/>
  <c r="J37" i="195"/>
  <c r="J33"/>
  <c r="J29"/>
  <c r="J23"/>
  <c r="AX27" i="180" s="1"/>
  <c r="AX47" s="1"/>
  <c r="J19" i="195"/>
  <c r="AX20" i="180" s="1"/>
  <c r="AX46" s="1"/>
  <c r="J18" i="195"/>
  <c r="AX13" i="180" s="1"/>
  <c r="AX45" s="1"/>
  <c r="J10" i="195"/>
  <c r="J7" s="1"/>
  <c r="J11"/>
  <c r="J8"/>
  <c r="J9" s="1"/>
  <c r="K12" s="1"/>
  <c r="J7" i="192"/>
  <c r="J6" i="190"/>
  <c r="B6"/>
  <c r="B6" i="192"/>
  <c r="B6" i="191"/>
  <c r="J8"/>
  <c r="J9" s="1"/>
  <c r="K12" s="1"/>
  <c r="K10" s="1"/>
  <c r="K7" s="1"/>
  <c r="J11"/>
  <c r="J6"/>
  <c r="J10"/>
  <c r="J7" s="1"/>
  <c r="K8" i="192"/>
  <c r="K9" s="1"/>
  <c r="L12" s="1"/>
  <c r="K10"/>
  <c r="K6"/>
  <c r="K7"/>
  <c r="K11"/>
  <c r="K11" i="190"/>
  <c r="K10"/>
  <c r="K7" s="1"/>
  <c r="K8"/>
  <c r="K9" s="1"/>
  <c r="L12" s="1"/>
  <c r="K8" i="191"/>
  <c r="K9" s="1"/>
  <c r="L12" s="1"/>
  <c r="J20" i="162" l="1"/>
  <c r="J149" i="199" s="1"/>
  <c r="J13" i="190"/>
  <c r="I68" i="202"/>
  <c r="P106" i="199"/>
  <c r="P107" s="1"/>
  <c r="M106"/>
  <c r="M107" s="1"/>
  <c r="Q106"/>
  <c r="Q107" s="1"/>
  <c r="N106"/>
  <c r="N107" s="1"/>
  <c r="O106"/>
  <c r="O107" s="1"/>
  <c r="L7"/>
  <c r="L106"/>
  <c r="J7"/>
  <c r="J106"/>
  <c r="K7"/>
  <c r="K106"/>
  <c r="L77" i="193"/>
  <c r="L7"/>
  <c r="P77"/>
  <c r="M77"/>
  <c r="Q77"/>
  <c r="J77"/>
  <c r="J7"/>
  <c r="N77"/>
  <c r="K77"/>
  <c r="K7"/>
  <c r="O77"/>
  <c r="K13" i="161"/>
  <c r="K6"/>
  <c r="K11"/>
  <c r="K10"/>
  <c r="K9"/>
  <c r="K8"/>
  <c r="O6"/>
  <c r="O11"/>
  <c r="O10"/>
  <c r="O7" s="1"/>
  <c r="O9"/>
  <c r="P8" s="1"/>
  <c r="K13" i="162"/>
  <c r="K6"/>
  <c r="K11"/>
  <c r="K10"/>
  <c r="K9"/>
  <c r="K8"/>
  <c r="O6"/>
  <c r="O11"/>
  <c r="O10"/>
  <c r="O7" s="1"/>
  <c r="O9"/>
  <c r="K13" i="163"/>
  <c r="K6"/>
  <c r="K11"/>
  <c r="K10"/>
  <c r="K9"/>
  <c r="K8"/>
  <c r="O6"/>
  <c r="O11"/>
  <c r="O10"/>
  <c r="O7" s="1"/>
  <c r="O9"/>
  <c r="P8" s="1"/>
  <c r="J13" i="161"/>
  <c r="J11"/>
  <c r="J10"/>
  <c r="J9"/>
  <c r="J8"/>
  <c r="J6"/>
  <c r="N11"/>
  <c r="N10"/>
  <c r="N9"/>
  <c r="O8" s="1"/>
  <c r="N6"/>
  <c r="J13" i="162"/>
  <c r="J11"/>
  <c r="J10"/>
  <c r="J9"/>
  <c r="J8"/>
  <c r="J6"/>
  <c r="N11"/>
  <c r="N10"/>
  <c r="N9"/>
  <c r="O8" s="1"/>
  <c r="N6"/>
  <c r="J13" i="163"/>
  <c r="J11"/>
  <c r="J10"/>
  <c r="J9"/>
  <c r="J8"/>
  <c r="J6"/>
  <c r="N11"/>
  <c r="N10"/>
  <c r="N9"/>
  <c r="O8" s="1"/>
  <c r="N6"/>
  <c r="M6" i="161"/>
  <c r="M11"/>
  <c r="M10"/>
  <c r="M9"/>
  <c r="N8" s="1"/>
  <c r="M8"/>
  <c r="Q6"/>
  <c r="Q11"/>
  <c r="Q10"/>
  <c r="Q7" s="1"/>
  <c r="Q9"/>
  <c r="M6" i="162"/>
  <c r="M11"/>
  <c r="M10"/>
  <c r="M9"/>
  <c r="N8" s="1"/>
  <c r="M8"/>
  <c r="Q6"/>
  <c r="Q11"/>
  <c r="Q10"/>
  <c r="Q7" s="1"/>
  <c r="Q9"/>
  <c r="M6" i="163"/>
  <c r="M11"/>
  <c r="M10"/>
  <c r="M9"/>
  <c r="N8" s="1"/>
  <c r="M8"/>
  <c r="Q6"/>
  <c r="Q11"/>
  <c r="Q10"/>
  <c r="Q7" s="1"/>
  <c r="Q9"/>
  <c r="L13" i="161"/>
  <c r="L11"/>
  <c r="L10"/>
  <c r="L9"/>
  <c r="L8"/>
  <c r="L6"/>
  <c r="P11"/>
  <c r="P10"/>
  <c r="P9"/>
  <c r="Q8" s="1"/>
  <c r="P6"/>
  <c r="L13" i="162"/>
  <c r="L11"/>
  <c r="L10"/>
  <c r="L9"/>
  <c r="L8"/>
  <c r="L6"/>
  <c r="P11"/>
  <c r="P10"/>
  <c r="P9"/>
  <c r="Q8" s="1"/>
  <c r="P8"/>
  <c r="P6"/>
  <c r="L13" i="163"/>
  <c r="L11"/>
  <c r="L10"/>
  <c r="L9"/>
  <c r="L8"/>
  <c r="L6"/>
  <c r="P11"/>
  <c r="P10"/>
  <c r="P9"/>
  <c r="Q8" s="1"/>
  <c r="P6"/>
  <c r="K11" i="191"/>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14"/>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48"/>
  <c r="K48" i="202" s="1"/>
  <c r="K42" i="196"/>
  <c r="K42" i="202" s="1"/>
  <c r="K40" i="196"/>
  <c r="K32"/>
  <c r="K30"/>
  <c r="K30" i="202" s="1"/>
  <c r="K24" i="196"/>
  <c r="K24" i="202" s="1"/>
  <c r="K22" i="196"/>
  <c r="K63"/>
  <c r="K63" i="202" s="1"/>
  <c r="K59" i="196"/>
  <c r="K49"/>
  <c r="K43"/>
  <c r="K43" i="202" s="1"/>
  <c r="K41" i="196"/>
  <c r="K41" i="202" s="1"/>
  <c r="K39" i="196"/>
  <c r="K39" i="202" s="1"/>
  <c r="K31" i="196"/>
  <c r="K29"/>
  <c r="K29" i="202" s="1"/>
  <c r="K23" i="196"/>
  <c r="K23" i="202" s="1"/>
  <c r="K20" i="196"/>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10"/>
  <c r="K7" s="1"/>
  <c r="K9"/>
  <c r="L12" s="1"/>
  <c r="L48" s="1"/>
  <c r="K11"/>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8" i="163"/>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O8"/>
  <c r="K13" i="199"/>
  <c r="K202"/>
  <c r="K43" i="162" s="1"/>
  <c r="K190" i="199"/>
  <c r="K24" i="162" s="1"/>
  <c r="K172" i="199"/>
  <c r="K122"/>
  <c r="K45" i="163" s="1"/>
  <c r="K108" i="199"/>
  <c r="K102"/>
  <c r="K96"/>
  <c r="K43" i="163" s="1"/>
  <c r="K208" i="199"/>
  <c r="K50" i="162" s="1"/>
  <c r="K207" i="199"/>
  <c r="K38" i="16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P8" s="1"/>
  <c r="O6"/>
  <c r="K40" i="202"/>
  <c r="K10" i="196"/>
  <c r="K7" s="1"/>
  <c r="K50" i="202"/>
  <c r="K32"/>
  <c r="K49"/>
  <c r="K31"/>
  <c r="K8" i="196"/>
  <c r="K9" s="1"/>
  <c r="L12" s="1"/>
  <c r="K11"/>
  <c r="K6"/>
  <c r="J21" i="195"/>
  <c r="J25" s="1"/>
  <c r="J13" i="197"/>
  <c r="J39"/>
  <c r="J74" i="196"/>
  <c r="J13"/>
  <c r="K37" i="195"/>
  <c r="K33"/>
  <c r="K29"/>
  <c r="K23"/>
  <c r="AY27" i="180" s="1"/>
  <c r="AY47" s="1"/>
  <c r="K19" i="195"/>
  <c r="AY20" i="180" s="1"/>
  <c r="AY46" s="1"/>
  <c r="K18" i="195"/>
  <c r="AY13" i="180" s="1"/>
  <c r="AY45" s="1"/>
  <c r="K10" i="195"/>
  <c r="K8"/>
  <c r="K9" s="1"/>
  <c r="L12" s="1"/>
  <c r="K7"/>
  <c r="K6"/>
  <c r="K11"/>
  <c r="L13" i="193"/>
  <c r="L11"/>
  <c r="L10"/>
  <c r="L9"/>
  <c r="L8"/>
  <c r="L6"/>
  <c r="P11"/>
  <c r="P10"/>
  <c r="P7" s="1"/>
  <c r="P9"/>
  <c r="P6" s="1"/>
  <c r="P8"/>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22" i="199"/>
  <c r="P79" s="1"/>
  <c r="P21"/>
  <c r="P67" s="1"/>
  <c r="P20"/>
  <c r="P24" i="163" s="1"/>
  <c r="P19" i="199"/>
  <c r="BD21" i="180" s="1"/>
  <c r="BD49" s="1"/>
  <c r="P18" i="199"/>
  <c r="BD14" i="180" s="1"/>
  <c r="BD48" s="1"/>
  <c r="P11" i="199"/>
  <c r="P10"/>
  <c r="P7" s="1"/>
  <c r="P9"/>
  <c r="Q8" s="1"/>
  <c r="M11" i="193"/>
  <c r="M10"/>
  <c r="M7" s="1"/>
  <c r="M9"/>
  <c r="N8" s="1"/>
  <c r="M8"/>
  <c r="Q11"/>
  <c r="Q10"/>
  <c r="Q7" s="1"/>
  <c r="Q9"/>
  <c r="Q6" s="1"/>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K13" i="191"/>
  <c r="L11" i="190"/>
  <c r="L8"/>
  <c r="L9" s="1"/>
  <c r="M12" s="1"/>
  <c r="L10"/>
  <c r="L7" s="1"/>
  <c r="L8" i="192"/>
  <c r="L9" s="1"/>
  <c r="M12" s="1"/>
  <c r="L11"/>
  <c r="L10"/>
  <c r="L11" i="191"/>
  <c r="L8"/>
  <c r="L9" s="1"/>
  <c r="M12" s="1"/>
  <c r="L10"/>
  <c r="L13" s="1"/>
  <c r="O20" i="163"/>
  <c r="O36"/>
  <c r="Q13" l="1"/>
  <c r="M13"/>
  <c r="L104" i="199"/>
  <c r="P13" i="162"/>
  <c r="N13"/>
  <c r="O13" i="163"/>
  <c r="P13"/>
  <c r="P13" i="161"/>
  <c r="Q13" i="162"/>
  <c r="M13"/>
  <c r="Q13" i="161"/>
  <c r="M13"/>
  <c r="N13" i="163"/>
  <c r="N13" i="161"/>
  <c r="O13"/>
  <c r="P7" i="162"/>
  <c r="N7" i="163"/>
  <c r="N7" i="161"/>
  <c r="O13" i="162"/>
  <c r="P7" i="163"/>
  <c r="P7" i="161"/>
  <c r="M7" i="163"/>
  <c r="M7" i="162"/>
  <c r="M7" i="161"/>
  <c r="N7" i="162"/>
  <c r="K38" i="203"/>
  <c r="L48"/>
  <c r="P60" i="180" s="1"/>
  <c r="P69" i="199"/>
  <c r="P165" s="1"/>
  <c r="O23" i="163"/>
  <c r="Q8" i="193"/>
  <c r="P81" i="199"/>
  <c r="P166" s="1"/>
  <c r="N13"/>
  <c r="I35" i="20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3"/>
  <c r="L43" i="202" s="1"/>
  <c r="L41" i="196"/>
  <c r="L41" i="202" s="1"/>
  <c r="L39" i="196"/>
  <c r="L31"/>
  <c r="L29"/>
  <c r="L29" i="202" s="1"/>
  <c r="L23" i="196"/>
  <c r="L20"/>
  <c r="L60"/>
  <c r="L50"/>
  <c r="L50" i="202" s="1"/>
  <c r="L48" i="196"/>
  <c r="L48" i="202" s="1"/>
  <c r="L42" i="196"/>
  <c r="L42" i="202" s="1"/>
  <c r="L40" i="196"/>
  <c r="L32"/>
  <c r="L30"/>
  <c r="L30" i="202" s="1"/>
  <c r="L24" i="196"/>
  <c r="L24" i="202" s="1"/>
  <c r="L22" i="196"/>
  <c r="L72" s="1"/>
  <c r="K43" i="203"/>
  <c r="K49" i="197"/>
  <c r="L85" i="163"/>
  <c r="L100"/>
  <c r="J85"/>
  <c r="J100"/>
  <c r="J48" i="203"/>
  <c r="N60" i="180" s="1"/>
  <c r="K45" i="203"/>
  <c r="Q213" i="199"/>
  <c r="Q48" i="163" s="1"/>
  <c r="L73" i="191"/>
  <c r="I53" i="202"/>
  <c r="I55" s="1"/>
  <c r="I70" s="1"/>
  <c r="I71" s="1"/>
  <c r="I72" s="1"/>
  <c r="J53" i="196"/>
  <c r="J35"/>
  <c r="K85" i="163"/>
  <c r="K100"/>
  <c r="K44" i="203"/>
  <c r="K46"/>
  <c r="K72" i="196"/>
  <c r="L60" i="202"/>
  <c r="P39" i="180" s="1"/>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Q13" i="199"/>
  <c r="Q13" i="193"/>
  <c r="P13"/>
  <c r="Q194" i="199"/>
  <c r="Q200"/>
  <c r="Q201" s="1"/>
  <c r="P188"/>
  <c r="P189" s="1"/>
  <c r="P29" i="163" s="1"/>
  <c r="P206" i="199"/>
  <c r="P207" s="1"/>
  <c r="P38" i="163" s="1"/>
  <c r="Q206" i="199"/>
  <c r="Q207" s="1"/>
  <c r="Q38" i="163" s="1"/>
  <c r="Q188" i="199"/>
  <c r="Q189" s="1"/>
  <c r="Q29" i="163" s="1"/>
  <c r="P200" i="199"/>
  <c r="P201" s="1"/>
  <c r="P194"/>
  <c r="P195" s="1"/>
  <c r="K13" i="195"/>
  <c r="M13" i="199"/>
  <c r="P13"/>
  <c r="L189"/>
  <c r="L29" i="163" s="1"/>
  <c r="L201" i="199"/>
  <c r="L195"/>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39" i="202"/>
  <c r="L40"/>
  <c r="L23"/>
  <c r="L10" i="196"/>
  <c r="L7" s="1"/>
  <c r="L49" i="202"/>
  <c r="L31"/>
  <c r="L32"/>
  <c r="L11" i="196"/>
  <c r="L8"/>
  <c r="L9" s="1"/>
  <c r="M12" s="1"/>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Q195" i="199"/>
  <c r="M104"/>
  <c r="P104"/>
  <c r="L70"/>
  <c r="L72" s="1"/>
  <c r="L73" s="1"/>
  <c r="L74" s="1"/>
  <c r="K195"/>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74" i="163"/>
  <c r="L81"/>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N53" i="180" s="1"/>
  <c r="J99" i="163"/>
  <c r="J81"/>
  <c r="J103"/>
  <c r="J83"/>
  <c r="J80"/>
  <c r="J98"/>
  <c r="L47" i="197"/>
  <c r="L46"/>
  <c r="L46" i="203" s="1"/>
  <c r="L45" i="197"/>
  <c r="L45" i="203" s="1"/>
  <c r="L44" i="197"/>
  <c r="L44" i="203" s="1"/>
  <c r="L43" i="197"/>
  <c r="L38"/>
  <c r="L38" i="203" s="1"/>
  <c r="L37" i="197"/>
  <c r="L36"/>
  <c r="L36" i="203" s="1"/>
  <c r="L35" i="197"/>
  <c r="L30"/>
  <c r="L29"/>
  <c r="L28"/>
  <c r="L27"/>
  <c r="L25"/>
  <c r="L24"/>
  <c r="L23"/>
  <c r="L23" i="203" s="1"/>
  <c r="L21" i="197"/>
  <c r="L20"/>
  <c r="L20" i="203" s="1"/>
  <c r="L10" i="197"/>
  <c r="L11"/>
  <c r="L8"/>
  <c r="L9" s="1"/>
  <c r="M12" s="1"/>
  <c r="M48" s="1"/>
  <c r="Q104" i="199"/>
  <c r="O104"/>
  <c r="K22" i="197"/>
  <c r="K26"/>
  <c r="L13" i="192"/>
  <c r="M8"/>
  <c r="M9" s="1"/>
  <c r="N12" s="1"/>
  <c r="M11"/>
  <c r="M10"/>
  <c r="M10" i="191"/>
  <c r="M7" s="1"/>
  <c r="M8"/>
  <c r="M9" s="1"/>
  <c r="M11"/>
  <c r="M13" s="1"/>
  <c r="L7" i="192"/>
  <c r="M8" i="190"/>
  <c r="M11"/>
  <c r="M10"/>
  <c r="M6"/>
  <c r="M9"/>
  <c r="N12" s="1"/>
  <c r="P20" i="163"/>
  <c r="P23"/>
  <c r="Q24"/>
  <c r="P36"/>
  <c r="Q23" i="161"/>
  <c r="O21"/>
  <c r="O25" s="1"/>
  <c r="O28"/>
  <c r="P18"/>
  <c r="P19"/>
  <c r="Q36" i="163"/>
  <c r="Q35"/>
  <c r="L82" i="199" l="1"/>
  <c r="L30" i="162" s="1"/>
  <c r="O27" i="161"/>
  <c r="J82" i="199"/>
  <c r="J30" i="162" s="1"/>
  <c r="L35" i="203"/>
  <c r="P53" i="180" s="1"/>
  <c r="K74" i="163"/>
  <c r="J66" i="196"/>
  <c r="P100" i="163"/>
  <c r="J109" i="199"/>
  <c r="J110" s="1"/>
  <c r="K109"/>
  <c r="L109"/>
  <c r="L110" s="1"/>
  <c r="L113" s="1"/>
  <c r="L114" s="1"/>
  <c r="L27" i="163" s="1"/>
  <c r="K82" i="199"/>
  <c r="K30" i="162" s="1"/>
  <c r="L24" i="203"/>
  <c r="K62" i="196"/>
  <c r="K62" i="202" s="1"/>
  <c r="M13" i="190"/>
  <c r="P58" i="180"/>
  <c r="J55" i="196"/>
  <c r="K31" i="195"/>
  <c r="K35" s="1"/>
  <c r="K39" s="1"/>
  <c r="O58" i="180"/>
  <c r="K21" i="201"/>
  <c r="K25" s="1"/>
  <c r="O11" i="180"/>
  <c r="O53"/>
  <c r="O55" s="1"/>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L74" s="1"/>
  <c r="P75" i="163"/>
  <c r="L44" i="202"/>
  <c r="P32" i="180" s="1"/>
  <c r="K53" i="202"/>
  <c r="L21" i="195"/>
  <c r="L25" s="1"/>
  <c r="L13" i="197"/>
  <c r="K31"/>
  <c r="L7"/>
  <c r="L6" i="195"/>
  <c r="L13"/>
  <c r="N12" i="191"/>
  <c r="N10" s="1"/>
  <c r="M6"/>
  <c r="L6" i="197"/>
  <c r="L22"/>
  <c r="L26"/>
  <c r="L6" i="196"/>
  <c r="M6" i="192"/>
  <c r="L33" i="161"/>
  <c r="L84" i="199"/>
  <c r="L85" s="1"/>
  <c r="L86" s="1"/>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L39" i="163"/>
  <c r="L72"/>
  <c r="M33" i="199"/>
  <c r="L39" i="197"/>
  <c r="L7" i="195"/>
  <c r="J84" i="199"/>
  <c r="J85" s="1"/>
  <c r="J86" s="1"/>
  <c r="K84"/>
  <c r="K85" s="1"/>
  <c r="K86" s="1"/>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J59" i="162"/>
  <c r="J166" i="199"/>
  <c r="J28" i="161"/>
  <c r="J21"/>
  <c r="J25" s="1"/>
  <c r="AX51" i="180" s="1"/>
  <c r="N13"/>
  <c r="N15" s="1"/>
  <c r="N165" i="199"/>
  <c r="N27" i="161"/>
  <c r="N50" i="199"/>
  <c r="K39" i="163"/>
  <c r="K72"/>
  <c r="K50" i="199"/>
  <c r="M72" i="196"/>
  <c r="M8"/>
  <c r="M9" s="1"/>
  <c r="M6" s="1"/>
  <c r="M11"/>
  <c r="M73"/>
  <c r="M10"/>
  <c r="L48" i="162"/>
  <c r="L51" s="1"/>
  <c r="L165" i="199"/>
  <c r="L27" i="161"/>
  <c r="L50" i="199"/>
  <c r="L39" i="162" s="1"/>
  <c r="P50" i="199"/>
  <c r="M166"/>
  <c r="M28" i="161"/>
  <c r="M21"/>
  <c r="M25" s="1"/>
  <c r="Q50" i="199"/>
  <c r="Q52" s="1"/>
  <c r="J70"/>
  <c r="K110"/>
  <c r="L13" i="196"/>
  <c r="M7" i="192"/>
  <c r="N6" i="190"/>
  <c r="N13"/>
  <c r="N11"/>
  <c r="N7"/>
  <c r="N8"/>
  <c r="N9"/>
  <c r="N10"/>
  <c r="O12"/>
  <c r="N7" i="191"/>
  <c r="N10" i="192"/>
  <c r="N13"/>
  <c r="N11"/>
  <c r="N7"/>
  <c r="N8"/>
  <c r="N9"/>
  <c r="O12" s="1"/>
  <c r="N6"/>
  <c r="Q23" i="163"/>
  <c r="Q39"/>
  <c r="P39"/>
  <c r="Q20"/>
  <c r="Q28" i="161"/>
  <c r="Q73" i="163"/>
  <c r="P21" i="161"/>
  <c r="P25" s="1"/>
  <c r="Q27"/>
  <c r="P28"/>
  <c r="O29"/>
  <c r="P27"/>
  <c r="L29" i="162"/>
  <c r="Q19" i="161"/>
  <c r="Q18"/>
  <c r="O72" i="163"/>
  <c r="P55" i="180" l="1"/>
  <c r="K76" i="163"/>
  <c r="Q35" i="199"/>
  <c r="J68" i="196"/>
  <c r="J69" s="1"/>
  <c r="L167" i="199"/>
  <c r="L168" s="1"/>
  <c r="L170" s="1"/>
  <c r="L174" s="1"/>
  <c r="M35"/>
  <c r="Q29"/>
  <c r="P35"/>
  <c r="N35"/>
  <c r="K64" i="196"/>
  <c r="K66" s="1"/>
  <c r="K68" s="1"/>
  <c r="K69" s="1"/>
  <c r="P29" i="199"/>
  <c r="P31" s="1"/>
  <c r="O35"/>
  <c r="M52"/>
  <c r="P46"/>
  <c r="P48" s="1"/>
  <c r="O52"/>
  <c r="Q46"/>
  <c r="Q48" s="1"/>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6" i="163"/>
  <c r="L53" i="202"/>
  <c r="K51" i="197"/>
  <c r="K94" i="163"/>
  <c r="L33" i="201"/>
  <c r="P18" i="180" s="1"/>
  <c r="L94" i="163"/>
  <c r="J94"/>
  <c r="M13" i="196"/>
  <c r="M13" i="197"/>
  <c r="L31"/>
  <c r="L33" i="162"/>
  <c r="M13" i="195"/>
  <c r="N12" i="196"/>
  <c r="N6" s="1"/>
  <c r="M7"/>
  <c r="N12" i="197"/>
  <c r="N48" s="1"/>
  <c r="M22"/>
  <c r="M26"/>
  <c r="N12" i="195"/>
  <c r="N33" s="1"/>
  <c r="M21"/>
  <c r="M25" s="1"/>
  <c r="Q58" i="199"/>
  <c r="K113"/>
  <c r="K167"/>
  <c r="K168" s="1"/>
  <c r="K170" s="1"/>
  <c r="K174" s="1"/>
  <c r="K33" i="161"/>
  <c r="K70" i="199"/>
  <c r="J72"/>
  <c r="J73" s="1"/>
  <c r="J74" s="1"/>
  <c r="J29" i="162"/>
  <c r="J33" s="1"/>
  <c r="P58" i="199"/>
  <c r="L48"/>
  <c r="L58"/>
  <c r="K58"/>
  <c r="K48"/>
  <c r="K39" i="162"/>
  <c r="Q41" i="199"/>
  <c r="M58"/>
  <c r="L31"/>
  <c r="L41"/>
  <c r="L23" i="162"/>
  <c r="O41" i="199"/>
  <c r="J48"/>
  <c r="J58"/>
  <c r="J39" i="162"/>
  <c r="J113" i="199"/>
  <c r="J114" s="1"/>
  <c r="J167"/>
  <c r="J168" s="1"/>
  <c r="J170" s="1"/>
  <c r="J174" s="1"/>
  <c r="J33" i="161"/>
  <c r="M41" i="199"/>
  <c r="O58"/>
  <c r="J41"/>
  <c r="J31"/>
  <c r="J23" i="162"/>
  <c r="K31" i="199"/>
  <c r="K41"/>
  <c r="K23" i="162"/>
  <c r="N41" i="199"/>
  <c r="N29" i="161"/>
  <c r="M39" i="197"/>
  <c r="P13" i="180"/>
  <c r="P15" s="1"/>
  <c r="N10" i="196"/>
  <c r="N13"/>
  <c r="N7"/>
  <c r="N58" i="199"/>
  <c r="N45" i="197"/>
  <c r="N45" i="203" s="1"/>
  <c r="N37" i="197"/>
  <c r="N29"/>
  <c r="N25"/>
  <c r="N23"/>
  <c r="N23" i="203" s="1"/>
  <c r="N20" i="197"/>
  <c r="N20" i="203" s="1"/>
  <c r="N6" i="197"/>
  <c r="N7"/>
  <c r="P41" i="199"/>
  <c r="N29" i="195"/>
  <c r="M74" i="196"/>
  <c r="M29" i="161"/>
  <c r="O13" i="180"/>
  <c r="O15" s="1"/>
  <c r="J29" i="161"/>
  <c r="K29"/>
  <c r="K31" s="1"/>
  <c r="O8" i="192"/>
  <c r="O13"/>
  <c r="O11"/>
  <c r="O7"/>
  <c r="O10"/>
  <c r="O6"/>
  <c r="O9"/>
  <c r="P12"/>
  <c r="O8" i="190"/>
  <c r="O13"/>
  <c r="O11"/>
  <c r="O7"/>
  <c r="O10"/>
  <c r="O6"/>
  <c r="O9"/>
  <c r="P12"/>
  <c r="Q29" i="161"/>
  <c r="P29"/>
  <c r="Q21"/>
  <c r="Q25" s="1"/>
  <c r="L60" i="163"/>
  <c r="P72"/>
  <c r="P76" s="1"/>
  <c r="P94"/>
  <c r="N11" i="195" l="1"/>
  <c r="M62" i="202"/>
  <c r="J70" i="196"/>
  <c r="N8" i="197"/>
  <c r="N9" s="1"/>
  <c r="O12" s="1"/>
  <c r="O48" s="1"/>
  <c r="N11"/>
  <c r="N13" s="1"/>
  <c r="N10"/>
  <c r="N21"/>
  <c r="N24"/>
  <c r="N24" i="203" s="1"/>
  <c r="N27" i="197"/>
  <c r="N35"/>
  <c r="N35" i="203" s="1"/>
  <c r="N43" i="197"/>
  <c r="N47"/>
  <c r="N8" i="196"/>
  <c r="N9" s="1"/>
  <c r="O12" s="1"/>
  <c r="O60" s="1"/>
  <c r="N11"/>
  <c r="L61"/>
  <c r="N10" i="195"/>
  <c r="N13" s="1"/>
  <c r="N19"/>
  <c r="BB20" i="180" s="1"/>
  <c r="BB46" s="1"/>
  <c r="N37" i="195"/>
  <c r="N6"/>
  <c r="N8"/>
  <c r="N9" s="1"/>
  <c r="O12" s="1"/>
  <c r="O33" s="1"/>
  <c r="N18"/>
  <c r="BB13" i="180" s="1"/>
  <c r="BB45" s="1"/>
  <c r="N23" i="195"/>
  <c r="BB27" i="180" s="1"/>
  <c r="BB47" s="1"/>
  <c r="N28" i="197"/>
  <c r="N30"/>
  <c r="N30" i="203" s="1"/>
  <c r="N36" i="197"/>
  <c r="N36" i="203" s="1"/>
  <c r="N38" i="197"/>
  <c r="N44"/>
  <c r="N44" i="203" s="1"/>
  <c r="N46" i="197"/>
  <c r="N46" i="203" s="1"/>
  <c r="R58" i="180" s="1"/>
  <c r="M21" i="201"/>
  <c r="M25" s="1"/>
  <c r="N48" i="203"/>
  <c r="R60" i="180" s="1"/>
  <c r="L62" i="196"/>
  <c r="L62" i="202" s="1"/>
  <c r="O71" i="191"/>
  <c r="O8"/>
  <c r="O11"/>
  <c r="O10"/>
  <c r="O9"/>
  <c r="O72"/>
  <c r="O13"/>
  <c r="O7"/>
  <c r="O6"/>
  <c r="P12"/>
  <c r="P72" s="1"/>
  <c r="N7" i="195"/>
  <c r="P17" i="180"/>
  <c r="P19" s="1"/>
  <c r="N23" i="201"/>
  <c r="R14" i="180" s="1"/>
  <c r="M31" i="195"/>
  <c r="M35" s="1"/>
  <c r="M39" s="1"/>
  <c r="BA51" i="180"/>
  <c r="Q13"/>
  <c r="Q15" s="1"/>
  <c r="N19" i="201"/>
  <c r="R12" i="180" s="1"/>
  <c r="K61" i="163"/>
  <c r="N100"/>
  <c r="N85"/>
  <c r="N73" i="191"/>
  <c r="L55" i="196"/>
  <c r="L31" i="201"/>
  <c r="L35" s="1"/>
  <c r="N37" i="203"/>
  <c r="M53" i="196"/>
  <c r="M55" s="1"/>
  <c r="N43" i="203"/>
  <c r="O50" i="196"/>
  <c r="O42"/>
  <c r="O32"/>
  <c r="O24"/>
  <c r="O63"/>
  <c r="O63" i="202" s="1"/>
  <c r="O59" i="196"/>
  <c r="O43"/>
  <c r="O39"/>
  <c r="O29"/>
  <c r="O20"/>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29" i="203"/>
  <c r="N67" i="163"/>
  <c r="L51" i="197"/>
  <c r="K29" i="201"/>
  <c r="J31" i="161"/>
  <c r="J35" s="1"/>
  <c r="J29" i="201"/>
  <c r="M29"/>
  <c r="N29"/>
  <c r="J33"/>
  <c r="N18" i="180" s="1"/>
  <c r="K33" i="201"/>
  <c r="O18" i="180" s="1"/>
  <c r="N22" i="197"/>
  <c r="N26"/>
  <c r="M31"/>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Q31" i="199"/>
  <c r="J61" i="163"/>
  <c r="O37" i="195"/>
  <c r="O29"/>
  <c r="O29" i="201" s="1"/>
  <c r="S16" i="180" s="1"/>
  <c r="O19" i="195"/>
  <c r="O8"/>
  <c r="O11"/>
  <c r="O10"/>
  <c r="O9"/>
  <c r="O47" i="197"/>
  <c r="O46"/>
  <c r="O46" i="203" s="1"/>
  <c r="O45" i="197"/>
  <c r="O45" i="203" s="1"/>
  <c r="O44" i="197"/>
  <c r="O44" i="203" s="1"/>
  <c r="O43" i="197"/>
  <c r="O38"/>
  <c r="O37"/>
  <c r="O36"/>
  <c r="O36" i="203" s="1"/>
  <c r="O35" i="197"/>
  <c r="O35" i="203" s="1"/>
  <c r="O30" i="197"/>
  <c r="O29"/>
  <c r="O28"/>
  <c r="O27"/>
  <c r="O25"/>
  <c r="O24"/>
  <c r="O24" i="203" s="1"/>
  <c r="O23" i="197"/>
  <c r="O23" i="203" s="1"/>
  <c r="O21" i="197"/>
  <c r="O20"/>
  <c r="O20" i="203" s="1"/>
  <c r="O10" i="197"/>
  <c r="O6"/>
  <c r="O9"/>
  <c r="O8"/>
  <c r="O13"/>
  <c r="O11"/>
  <c r="O7"/>
  <c r="P12"/>
  <c r="P48" s="1"/>
  <c r="P48" i="203" s="1"/>
  <c r="N57" i="199"/>
  <c r="N49"/>
  <c r="O10" i="196"/>
  <c r="O9"/>
  <c r="O8"/>
  <c r="O11"/>
  <c r="P12"/>
  <c r="L179" i="199"/>
  <c r="L37" i="161"/>
  <c r="J40" i="199"/>
  <c r="J32"/>
  <c r="J179"/>
  <c r="K180" s="1"/>
  <c r="J37" i="161"/>
  <c r="J57" i="199"/>
  <c r="J49"/>
  <c r="K57"/>
  <c r="K49"/>
  <c r="K60" i="163"/>
  <c r="K114" i="199"/>
  <c r="K27" i="163" s="1"/>
  <c r="K27" i="203" s="1"/>
  <c r="Q12" i="190"/>
  <c r="P9"/>
  <c r="P10"/>
  <c r="P6"/>
  <c r="P13"/>
  <c r="P11"/>
  <c r="P7"/>
  <c r="P8"/>
  <c r="P10" i="191"/>
  <c r="P7"/>
  <c r="Q12" i="192"/>
  <c r="P9"/>
  <c r="P10"/>
  <c r="P6"/>
  <c r="P13"/>
  <c r="P11"/>
  <c r="P7"/>
  <c r="P8"/>
  <c r="Q72" i="163"/>
  <c r="Q76" s="1"/>
  <c r="Q94"/>
  <c r="M39" i="162"/>
  <c r="M39" i="202" s="1"/>
  <c r="N23" i="162"/>
  <c r="N23" i="202" s="1"/>
  <c r="L61" i="163"/>
  <c r="L31" i="161"/>
  <c r="L35" s="1"/>
  <c r="R53" i="180" l="1"/>
  <c r="O73" i="191"/>
  <c r="P13"/>
  <c r="Q12"/>
  <c r="O7" i="196"/>
  <c r="O13"/>
  <c r="O73"/>
  <c r="O6"/>
  <c r="O72"/>
  <c r="O23"/>
  <c r="O31"/>
  <c r="O41"/>
  <c r="O44" s="1"/>
  <c r="O49"/>
  <c r="O61"/>
  <c r="O62" s="1"/>
  <c r="O62" i="202" s="1"/>
  <c r="O22" i="196"/>
  <c r="O30"/>
  <c r="O40"/>
  <c r="O48"/>
  <c r="O51" s="1"/>
  <c r="O53" s="1"/>
  <c r="N18" i="201"/>
  <c r="P71" i="191"/>
  <c r="R57" i="180"/>
  <c r="P12" i="195"/>
  <c r="P33" s="1"/>
  <c r="O6"/>
  <c r="O7"/>
  <c r="O13"/>
  <c r="O18"/>
  <c r="O18" i="201" s="1"/>
  <c r="S11" i="180" s="1"/>
  <c r="O23" i="195"/>
  <c r="BC27" i="180" s="1"/>
  <c r="BC47" s="1"/>
  <c r="P8" i="191"/>
  <c r="P11"/>
  <c r="P6"/>
  <c r="P9"/>
  <c r="N39" i="197"/>
  <c r="N49"/>
  <c r="N21" i="195"/>
  <c r="N25" s="1"/>
  <c r="N31" s="1"/>
  <c r="N35" s="1"/>
  <c r="N39" s="1"/>
  <c r="P25" i="163"/>
  <c r="P26" s="1"/>
  <c r="N84" i="199"/>
  <c r="N85" s="1"/>
  <c r="N86" s="1"/>
  <c r="M72"/>
  <c r="M73" s="1"/>
  <c r="M74" s="1"/>
  <c r="M29" i="162"/>
  <c r="M29" i="202" s="1"/>
  <c r="M124" i="199"/>
  <c r="M86" i="193" s="1"/>
  <c r="L64" i="196"/>
  <c r="L66" s="1"/>
  <c r="L68" s="1"/>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O19" i="201"/>
  <c r="S12" i="180" s="1"/>
  <c r="BC20"/>
  <c r="BC46" s="1"/>
  <c r="R16"/>
  <c r="N21" i="201"/>
  <c r="N25" s="1"/>
  <c r="N31" s="1"/>
  <c r="R11" i="180"/>
  <c r="R13" s="1"/>
  <c r="R15" s="1"/>
  <c r="R17" s="1"/>
  <c r="S53"/>
  <c r="S58"/>
  <c r="O23" i="201"/>
  <c r="S14" i="180" s="1"/>
  <c r="M31" i="201"/>
  <c r="Q16" i="180"/>
  <c r="Q17" s="1"/>
  <c r="J31" i="201"/>
  <c r="J35" s="1"/>
  <c r="N16" i="180"/>
  <c r="N17" s="1"/>
  <c r="N19" s="1"/>
  <c r="K31" i="201"/>
  <c r="K35" s="1"/>
  <c r="O16" i="180"/>
  <c r="O17" s="1"/>
  <c r="N21" i="196"/>
  <c r="O21"/>
  <c r="O33"/>
  <c r="P73" i="191"/>
  <c r="M180" i="199"/>
  <c r="M28" i="163" s="1"/>
  <c r="M28" i="203" s="1"/>
  <c r="Q72" i="191"/>
  <c r="Q71"/>
  <c r="P63" i="196"/>
  <c r="P63" i="202" s="1"/>
  <c r="P61" i="196"/>
  <c r="P59"/>
  <c r="P49"/>
  <c r="P43"/>
  <c r="P41"/>
  <c r="P39"/>
  <c r="P31"/>
  <c r="P29"/>
  <c r="P23"/>
  <c r="P20"/>
  <c r="P60"/>
  <c r="P50"/>
  <c r="P48"/>
  <c r="P42"/>
  <c r="P40"/>
  <c r="P32"/>
  <c r="P30"/>
  <c r="P24"/>
  <c r="P22"/>
  <c r="N62"/>
  <c r="N62" i="202" s="1"/>
  <c r="N25" i="196"/>
  <c r="N51"/>
  <c r="O25"/>
  <c r="O43" i="203"/>
  <c r="S57" i="180" s="1"/>
  <c r="O49" i="197"/>
  <c r="N33" i="196"/>
  <c r="N44"/>
  <c r="M68"/>
  <c r="M69" s="1"/>
  <c r="J39" i="161"/>
  <c r="J58" i="163" s="1"/>
  <c r="J37" i="201"/>
  <c r="N20" i="180" s="1"/>
  <c r="L37" i="201"/>
  <c r="K37"/>
  <c r="O20" i="180" s="1"/>
  <c r="O39" i="197"/>
  <c r="N31"/>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72" i="196"/>
  <c r="P9"/>
  <c r="P10"/>
  <c r="P73"/>
  <c r="P13"/>
  <c r="P11"/>
  <c r="P7"/>
  <c r="P8"/>
  <c r="P6"/>
  <c r="Q12"/>
  <c r="N55" i="199"/>
  <c r="N56" s="1"/>
  <c r="N59" s="1"/>
  <c r="N25" i="163"/>
  <c r="P47" i="197"/>
  <c r="P46"/>
  <c r="P46" i="203" s="1"/>
  <c r="P45" i="197"/>
  <c r="P45" i="203" s="1"/>
  <c r="P44" i="197"/>
  <c r="P44" i="203" s="1"/>
  <c r="P43" i="197"/>
  <c r="P38"/>
  <c r="P38" i="203" s="1"/>
  <c r="P37" i="197"/>
  <c r="P37" i="203" s="1"/>
  <c r="P36" i="197"/>
  <c r="P36" i="203" s="1"/>
  <c r="P35" i="197"/>
  <c r="P35" i="203" s="1"/>
  <c r="P30" i="197"/>
  <c r="P30" i="203" s="1"/>
  <c r="P29" i="197"/>
  <c r="P29" i="203" s="1"/>
  <c r="P28" i="197"/>
  <c r="P27"/>
  <c r="P25"/>
  <c r="P24"/>
  <c r="P24" i="203" s="1"/>
  <c r="P23" i="197"/>
  <c r="P23" i="203" s="1"/>
  <c r="P21" i="197"/>
  <c r="P20"/>
  <c r="P20" i="203" s="1"/>
  <c r="P9" i="197"/>
  <c r="P10"/>
  <c r="P6"/>
  <c r="P13"/>
  <c r="P11"/>
  <c r="P7"/>
  <c r="P8"/>
  <c r="Q12"/>
  <c r="Q48" s="1"/>
  <c r="Q48" i="203" s="1"/>
  <c r="P37" i="195"/>
  <c r="P29"/>
  <c r="P29" i="201" s="1"/>
  <c r="P19" i="195"/>
  <c r="P13"/>
  <c r="P7"/>
  <c r="P9"/>
  <c r="P6"/>
  <c r="Q40" i="199"/>
  <c r="Q32"/>
  <c r="Q38" s="1"/>
  <c r="Q39" s="1"/>
  <c r="L28" i="163"/>
  <c r="L28" i="203" s="1"/>
  <c r="K181" i="199"/>
  <c r="O74" i="196"/>
  <c r="O22" i="197"/>
  <c r="O26"/>
  <c r="O19" i="180"/>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O21" i="195" l="1"/>
  <c r="Q12"/>
  <c r="Q33" s="1"/>
  <c r="P10"/>
  <c r="P8"/>
  <c r="P11"/>
  <c r="P18"/>
  <c r="BD13" i="180" s="1"/>
  <c r="BD45" s="1"/>
  <c r="P23" i="195"/>
  <c r="BB51" i="180"/>
  <c r="BC13"/>
  <c r="BC45" s="1"/>
  <c r="O64" i="196"/>
  <c r="O66" s="1"/>
  <c r="O25" i="195"/>
  <c r="BC51" i="180" s="1"/>
  <c r="P25" i="203"/>
  <c r="Q21" i="163"/>
  <c r="Q22" s="1"/>
  <c r="M33" i="202"/>
  <c r="Q29" i="180" s="1"/>
  <c r="O21"/>
  <c r="J41" i="161"/>
  <c r="M33" i="162"/>
  <c r="N21" i="180"/>
  <c r="M75" i="163"/>
  <c r="N121" i="199"/>
  <c r="N83" i="193" s="1"/>
  <c r="M59" i="162"/>
  <c r="M59" i="202" s="1"/>
  <c r="Q38" i="180" s="1"/>
  <c r="M109" i="199"/>
  <c r="M110" s="1"/>
  <c r="M113" s="1"/>
  <c r="M114" s="1"/>
  <c r="J147"/>
  <c r="J148" s="1"/>
  <c r="J155" s="1"/>
  <c r="J129" s="1"/>
  <c r="O21" i="201"/>
  <c r="O25" s="1"/>
  <c r="O31" s="1"/>
  <c r="J62" i="162"/>
  <c r="J64" i="202" s="1"/>
  <c r="O35" i="196"/>
  <c r="O55" s="1"/>
  <c r="L69"/>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S15" s="1"/>
  <c r="S17" s="1"/>
  <c r="O212" i="199"/>
  <c r="O213" s="1"/>
  <c r="O48" i="163" s="1"/>
  <c r="O85" s="1"/>
  <c r="M212" i="199"/>
  <c r="M213" s="1"/>
  <c r="M48" i="163" s="1"/>
  <c r="M49" i="199"/>
  <c r="M57"/>
  <c r="M40"/>
  <c r="M32"/>
  <c r="N53" i="196"/>
  <c r="P25"/>
  <c r="P51"/>
  <c r="O30" i="203"/>
  <c r="N206" i="199"/>
  <c r="N207" s="1"/>
  <c r="N38" i="163" s="1"/>
  <c r="O206" i="199"/>
  <c r="O207" s="1"/>
  <c r="O38" i="163" s="1"/>
  <c r="K31" i="203"/>
  <c r="O51" i="180" s="1"/>
  <c r="O48"/>
  <c r="P18" i="201"/>
  <c r="P23"/>
  <c r="BD27" i="180"/>
  <c r="BD47" s="1"/>
  <c r="L39" i="201"/>
  <c r="P20" i="180"/>
  <c r="P21" s="1"/>
  <c r="N35" i="196"/>
  <c r="Q73" i="191"/>
  <c r="O31" i="195"/>
  <c r="O35" s="1"/>
  <c r="O39" s="1"/>
  <c r="P19" i="201"/>
  <c r="BD20" i="180"/>
  <c r="BD46" s="1"/>
  <c r="K39" i="201"/>
  <c r="Q60" i="196"/>
  <c r="Q50"/>
  <c r="Q48"/>
  <c r="Q42"/>
  <c r="Q40"/>
  <c r="Q32"/>
  <c r="Q30"/>
  <c r="Q24"/>
  <c r="Q22"/>
  <c r="Q63"/>
  <c r="Q63" i="202" s="1"/>
  <c r="Q61" i="196"/>
  <c r="Q59"/>
  <c r="Q49"/>
  <c r="Q43"/>
  <c r="Q41"/>
  <c r="Q39"/>
  <c r="Q31"/>
  <c r="Q29"/>
  <c r="Q23"/>
  <c r="Q20"/>
  <c r="Q62"/>
  <c r="P21"/>
  <c r="P33"/>
  <c r="P44"/>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N33" i="162"/>
  <c r="N29" i="202"/>
  <c r="N33" s="1"/>
  <c r="R29" i="180" s="1"/>
  <c r="Q66" i="199"/>
  <c r="Q70" s="1"/>
  <c r="Q72" s="1"/>
  <c r="Q73" s="1"/>
  <c r="Q74" s="1"/>
  <c r="P29" i="162"/>
  <c r="N95" i="199"/>
  <c r="N64" i="193" s="1"/>
  <c r="M48" i="162"/>
  <c r="O72" i="199"/>
  <c r="O73" s="1"/>
  <c r="O74" s="1"/>
  <c r="L181"/>
  <c r="Q42"/>
  <c r="P21" i="195"/>
  <c r="P25" s="1"/>
  <c r="P22" i="197"/>
  <c r="P26"/>
  <c r="P26" i="203" s="1"/>
  <c r="L41" i="162"/>
  <c r="K22" i="163"/>
  <c r="K62"/>
  <c r="J26"/>
  <c r="J63"/>
  <c r="K26"/>
  <c r="K63"/>
  <c r="O31" i="197"/>
  <c r="P39"/>
  <c r="Q37" i="195"/>
  <c r="Q29"/>
  <c r="Q29" i="201" s="1"/>
  <c r="Q19" i="195"/>
  <c r="Q8"/>
  <c r="Q10"/>
  <c r="Q11"/>
  <c r="Q13"/>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K62" i="162"/>
  <c r="K64" i="202" s="1"/>
  <c r="K40" i="162"/>
  <c r="K41" i="161"/>
  <c r="K58" i="163"/>
  <c r="N31" i="161"/>
  <c r="L63" i="163"/>
  <c r="L62"/>
  <c r="O23" i="162"/>
  <c r="O23" i="202" s="1"/>
  <c r="N39" i="162"/>
  <c r="N39" i="202" s="1"/>
  <c r="L59" i="163"/>
  <c r="L39" i="161"/>
  <c r="M74" i="163" l="1"/>
  <c r="M76" s="1"/>
  <c r="M30"/>
  <c r="Q7" i="195"/>
  <c r="Q6"/>
  <c r="Q9"/>
  <c r="Q18"/>
  <c r="BE13" i="180" s="1"/>
  <c r="BE45" s="1"/>
  <c r="Q23" i="195"/>
  <c r="P84" i="199"/>
  <c r="P85" s="1"/>
  <c r="P86" s="1"/>
  <c r="P35" i="196"/>
  <c r="O39" i="163"/>
  <c r="O94" s="1"/>
  <c r="O74"/>
  <c r="Q21" i="203"/>
  <c r="O29"/>
  <c r="M33" i="161"/>
  <c r="M33" i="201" s="1"/>
  <c r="M167" i="199"/>
  <c r="M168" s="1"/>
  <c r="M170" s="1"/>
  <c r="M174" s="1"/>
  <c r="M179" s="1"/>
  <c r="P22" i="203"/>
  <c r="L31" i="163"/>
  <c r="Q84" i="199"/>
  <c r="Q85" s="1"/>
  <c r="Q86" s="1"/>
  <c r="N124"/>
  <c r="N86" i="193" s="1"/>
  <c r="O100" i="163"/>
  <c r="P30" i="162"/>
  <c r="P30" i="202" s="1"/>
  <c r="O33" i="162"/>
  <c r="P53" i="196"/>
  <c r="Q64"/>
  <c r="Q66" s="1"/>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0" i="203"/>
  <c r="M67" i="163"/>
  <c r="M37" i="203"/>
  <c r="Q54" i="180" s="1"/>
  <c r="Q55" s="1"/>
  <c r="M39" i="163"/>
  <c r="M94" s="1"/>
  <c r="O75"/>
  <c r="O38" i="203"/>
  <c r="S54" i="180" s="1"/>
  <c r="S55" s="1"/>
  <c r="N66" i="196"/>
  <c r="I131" i="193"/>
  <c r="Q19" i="201"/>
  <c r="BE20" i="180"/>
  <c r="BE46" s="1"/>
  <c r="Q18" i="201"/>
  <c r="Q21" s="1"/>
  <c r="Q23"/>
  <c r="BE27" i="180"/>
  <c r="BE47" s="1"/>
  <c r="P31" i="195"/>
  <c r="P35" s="1"/>
  <c r="P39" s="1"/>
  <c r="BD51" i="180"/>
  <c r="P55" i="196"/>
  <c r="P62" i="202"/>
  <c r="Q21" i="196"/>
  <c r="Q33"/>
  <c r="Q44"/>
  <c r="Q43" i="203"/>
  <c r="Q49" i="197"/>
  <c r="Q25" i="196"/>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J31" i="163"/>
  <c r="Q74" i="196"/>
  <c r="H74" s="1"/>
  <c r="K62" i="135" s="1"/>
  <c r="M62" s="1"/>
  <c r="Q22" i="197"/>
  <c r="Q26"/>
  <c r="Q26" i="203" s="1"/>
  <c r="K31" i="163"/>
  <c r="J138" i="199"/>
  <c r="J130"/>
  <c r="L40" i="162"/>
  <c r="L62"/>
  <c r="L64" i="202" s="1"/>
  <c r="Q29" i="162"/>
  <c r="N61" i="163"/>
  <c r="L58"/>
  <c r="L41" i="161"/>
  <c r="Q21" i="195" l="1"/>
  <c r="Q25" s="1"/>
  <c r="O76" i="163"/>
  <c r="I86" i="199"/>
  <c r="K23" i="135" s="1"/>
  <c r="M23" s="1"/>
  <c r="M35" i="161"/>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Q31" i="195"/>
  <c r="Q35" s="1"/>
  <c r="Q39" s="1"/>
  <c r="BE51" i="180"/>
  <c r="M35" i="201"/>
  <c r="Q18" i="180"/>
  <c r="Q19" s="1"/>
  <c r="Q53" i="196"/>
  <c r="Q35"/>
  <c r="P68"/>
  <c r="P69" s="1"/>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N28" i="180"/>
  <c r="N30" s="1"/>
  <c r="Q31" i="163"/>
  <c r="J55" i="203"/>
  <c r="J70" i="202"/>
  <c r="J71" s="1"/>
  <c r="J72" s="1"/>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R28" i="180"/>
  <c r="R30" s="1"/>
  <c r="P49" i="163"/>
  <c r="P64" i="162"/>
  <c r="N70" i="202"/>
  <c r="O53" i="162"/>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s="1"/>
  <c r="B2" i="205" l="1"/>
  <c r="C11" i="169"/>
  <c r="C11" i="134"/>
  <c r="C11" i="186"/>
  <c r="B2" i="191"/>
  <c r="B2" i="122"/>
  <c r="B2" i="180"/>
  <c r="C11" i="187"/>
  <c r="C11" i="132"/>
  <c r="C11" i="137"/>
  <c r="C11" i="127"/>
  <c r="B2" i="176"/>
  <c r="C11" i="168"/>
  <c r="B2" i="162"/>
  <c r="B2" i="163"/>
  <c r="B2" i="195"/>
  <c r="C11" i="194"/>
  <c r="B2" i="190"/>
  <c r="C11" i="189" l="1"/>
  <c r="B2" i="182"/>
  <c r="B2" i="197"/>
  <c r="C11" i="124"/>
  <c r="C11" i="184"/>
  <c r="B2" i="196"/>
  <c r="C11" i="123"/>
  <c r="B2" i="161"/>
  <c r="B2" i="192"/>
  <c r="B2" i="201"/>
  <c r="B2" i="135"/>
  <c r="B2" i="130"/>
  <c r="B2" i="131"/>
  <c r="C11" i="183"/>
  <c r="B2" i="174"/>
  <c r="B2" i="193"/>
  <c r="B2" i="203"/>
  <c r="C11" i="188"/>
  <c r="B2" i="199"/>
  <c r="B2" i="202"/>
</calcChain>
</file>

<file path=xl/comments1.xml><?xml version="1.0" encoding="utf-8"?>
<comments xmlns="http://schemas.openxmlformats.org/spreadsheetml/2006/main">
  <authors>
    <author>Michael Hutchens</author>
    <author>Best Practice Modelling</author>
  </authors>
  <commentList>
    <comment ref="C9" authorId="0">
      <text>
        <r>
          <rPr>
            <b/>
            <sz val="9"/>
            <color indexed="81"/>
            <rFont val="Tahoma"/>
            <family val="2"/>
          </rPr>
          <t>Best Practice Modelling:</t>
        </r>
        <r>
          <rPr>
            <sz val="9"/>
            <color indexed="81"/>
            <rFont val="Tahoma"/>
            <family val="2"/>
          </rPr>
          <t xml:space="preserve">
Workbook Cover Sheet (BPMS 2-1).</t>
        </r>
      </text>
    </comment>
    <comment ref="C11" authorId="1">
      <text>
        <r>
          <rPr>
            <b/>
            <sz val="9"/>
            <color indexed="81"/>
            <rFont val="Tahoma"/>
            <family val="2"/>
          </rPr>
          <t>Best Practice Modelling:</t>
        </r>
        <r>
          <rPr>
            <sz val="9"/>
            <color indexed="81"/>
            <rFont val="Tahoma"/>
            <family val="2"/>
          </rPr>
          <t xml:space="preserve">
Workbook Navigation (BPMS 2-6).</t>
        </r>
      </text>
    </comment>
  </commentList>
</comments>
</file>

<file path=xl/comments2.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Table of Contents (BPMS 2-4).</t>
        </r>
      </text>
    </comment>
    <comment ref="B6" authorId="0">
      <text>
        <r>
          <rPr>
            <b/>
            <sz val="9"/>
            <color indexed="81"/>
            <rFont val="Tahoma"/>
            <family val="2"/>
          </rPr>
          <t>Best Practice Modelling:</t>
        </r>
        <r>
          <rPr>
            <sz val="9"/>
            <color indexed="81"/>
            <rFont val="Tahoma"/>
            <family val="2"/>
          </rPr>
          <t xml:space="preserve">
Table of Contents Information (BPMS 2-5).</t>
        </r>
      </text>
    </comment>
    <comment ref="B16" authorId="0">
      <text>
        <r>
          <rPr>
            <b/>
            <sz val="9"/>
            <color indexed="81"/>
            <rFont val="Tahoma"/>
            <family val="2"/>
          </rPr>
          <t>Best Practice Modelling:</t>
        </r>
        <r>
          <rPr>
            <sz val="9"/>
            <color indexed="81"/>
            <rFont val="Tahoma"/>
            <family val="2"/>
          </rPr>
          <t xml:space="preserve">
Workbook Sections (BPMS 2-2).</t>
        </r>
      </text>
    </comment>
    <comment ref="B31" authorId="0">
      <text>
        <r>
          <rPr>
            <b/>
            <sz val="9"/>
            <color indexed="81"/>
            <rFont val="Tahoma"/>
            <family val="2"/>
          </rPr>
          <t>Best Practice Modelling:</t>
        </r>
        <r>
          <rPr>
            <sz val="9"/>
            <color indexed="81"/>
            <rFont val="Tahoma"/>
            <family val="2"/>
          </rPr>
          <t xml:space="preserve">
Workbook Section Structure (BPMC 2-1).</t>
        </r>
      </text>
    </comment>
  </commentList>
</comments>
</file>

<file path=xl/comments3.xml><?xml version="1.0" encoding="utf-8"?>
<comments xmlns="http://schemas.openxmlformats.org/spreadsheetml/2006/main">
  <authors>
    <author>Best Practice Modelling</author>
  </authors>
  <commentList>
    <comment ref="C10" authorId="0">
      <text>
        <r>
          <rPr>
            <b/>
            <sz val="9"/>
            <color indexed="81"/>
            <rFont val="Tahoma"/>
            <family val="2"/>
          </rPr>
          <t xml:space="preserve">Best Practice Modelling:
</t>
        </r>
        <r>
          <rPr>
            <sz val="9"/>
            <color indexed="81"/>
            <rFont val="Tahoma"/>
            <family val="2"/>
          </rPr>
          <t>Section Cover Sheets (BPMS 2-3).</t>
        </r>
      </text>
    </comment>
  </commentList>
</comments>
</file>

<file path=xl/comments4.xml><?xml version="1.0" encoding="utf-8"?>
<comments xmlns="http://schemas.openxmlformats.org/spreadsheetml/2006/main">
  <authors>
    <author>Michael Hutchens</author>
  </authors>
  <commentList>
    <comment ref="E46" authorId="0">
      <text>
        <r>
          <rPr>
            <sz val="9"/>
            <color indexed="81"/>
            <rFont val="Tahoma"/>
            <family val="2"/>
          </rPr>
          <t>Data time series sheets will end at this date.</t>
        </r>
      </text>
    </comment>
    <comment ref="E47" authorId="0">
      <text>
        <r>
          <rPr>
            <sz val="9"/>
            <color indexed="81"/>
            <rFont val="Tahoma"/>
            <family val="2"/>
          </rPr>
          <t>Total number of active columns on data time series sheets.</t>
        </r>
      </text>
    </comment>
    <comment ref="E48" authorId="0">
      <text>
        <r>
          <rPr>
            <sz val="9"/>
            <color indexed="81"/>
            <rFont val="Tahoma"/>
            <family val="2"/>
          </rPr>
          <t>Period number of last full period on data time series sheets. First period is always treated as a full period if more than one total period.</t>
        </r>
      </text>
    </comment>
    <comment ref="E49" authorId="0">
      <text>
        <r>
          <rPr>
            <sz val="9"/>
            <color indexed="81"/>
            <rFont val="Tahoma"/>
            <family val="2"/>
          </rPr>
          <t>Indicates whether or not the final active period of data time series sheets is a partial period.</t>
        </r>
      </text>
    </comment>
  </commentList>
</comments>
</file>

<file path=xl/comments5.xml><?xml version="1.0" encoding="utf-8"?>
<comments xmlns="http://schemas.openxmlformats.org/spreadsheetml/2006/main">
  <authors>
    <author>Best Practice Modelling</author>
  </authors>
  <commentList>
    <comment ref="C41" authorId="0">
      <text>
        <r>
          <rPr>
            <b/>
            <sz val="9"/>
            <color indexed="81"/>
            <rFont val="Tahoma"/>
            <family val="2"/>
          </rPr>
          <t xml:space="preserve">Best Practice Modelling:
</t>
        </r>
        <r>
          <rPr>
            <sz val="9"/>
            <color indexed="81"/>
            <rFont val="Tahoma"/>
            <family val="2"/>
          </rPr>
          <t>Hyperlinks between related components within the model - i.e. assumptions and outputs (BPMS 2-6).</t>
        </r>
      </text>
    </comment>
  </commentList>
</comments>
</file>

<file path=xl/comments6.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7.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8.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9.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10.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1.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12.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3.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<sst xmlns="http://schemas.openxmlformats.org/spreadsheetml/2006/main" count="1193" uniqueCount="602">
  <si>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</si>
  <si>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</si>
  <si>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</si>
  <si>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</si>
  <si>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</si>
  <si>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</si>
  <si>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</si>
  <si>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</si>
  <si>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</si>
  <si>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</si>
  <si>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</si>
  <si>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</si>
  <si>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</si>
  <si>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</si>
  <si>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</si>
  <si>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</si>
  <si>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</si>
  <si>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</si>
  <si>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</si>
  <si>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</si>
  <si>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</si>
  <si>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</si>
  <si>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</si>
  <si>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</si>
  <si>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</si>
  <si>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</si>
  <si>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</si>
  <si>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</si>
  <si>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</si>
  <si>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</si>
  <si>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</si>
  <si>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</si>
  <si>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</si>
  <si>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</si>
  <si>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</si>
  <si>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</si>
  <si>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</si>
  <si>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</si>
  <si>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</si>
  <si>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</si>
  <si>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</si>
  <si>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</si>
  <si>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</si>
  <si>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</si>
  <si>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</si>
  <si>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</si>
  <si>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</si>
  <si>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</si>
  <si>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</si>
  <si>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</si>
  <si>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</si>
  <si>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</si>
  <si>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</si>
  <si>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</si>
  <si>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</si>
  <si>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</si>
  <si>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</si>
  <si>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</si>
  <si>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</si>
  <si>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</si>
  <si>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</si>
  <si>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</si>
  <si>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</si>
  <si>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</si>
  <si>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</si>
  <si>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</si>
  <si>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</si>
  <si>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</si>
  <si>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</si>
  <si>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</si>
  <si>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</si>
  <si>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</si>
  <si>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</si>
  <si>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</si>
  <si>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</si>
  <si>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</si>
  <si>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</si>
  <si>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</si>
  <si>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</si>
  <si>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</si>
  <si>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</si>
  <si>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</si>
  <si>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</si>
  <si>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</si>
  <si>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</si>
  <si>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</si>
  <si>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</si>
  <si>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</si>
  <si>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</si>
  <si>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</si>
  <si>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</si>
  <si>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</si>
  <si>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</si>
  <si>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</si>
  <si>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</si>
  <si>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</si>
  <si>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</si>
  <si>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</si>
  <si>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</si>
  <si>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</si>
  <si>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</si>
  <si>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</si>
  <si>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</si>
  <si>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</si>
  <si>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</si>
  <si>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</si>
  <si>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</si>
  <si>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</si>
  <si>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</si>
  <si>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</si>
  <si>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</si>
  <si>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</si>
  <si>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</si>
  <si>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</si>
  <si>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</si>
  <si>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</si>
  <si>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</si>
  <si>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</si>
  <si>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</si>
  <si>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</si>
  <si>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</si>
  <si>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</si>
  <si>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</si>
  <si>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</si>
  <si>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</si>
  <si>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</si>
  <si>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</si>
  <si>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</si>
  <si>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</si>
  <si>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</si>
  <si>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</si>
  <si>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</si>
  <si>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</si>
  <si>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</si>
  <si>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</si>
  <si>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</si>
  <si>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</si>
  <si>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</si>
  <si>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</si>
  <si>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</si>
  <si>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</si>
  <si>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</si>
  <si>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</si>
  <si>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</si>
  <si>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</si>
  <si>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</si>
  <si>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</si>
  <si>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</si>
  <si>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</si>
  <si>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</si>
  <si>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</si>
  <si>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</si>
  <si>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</si>
  <si>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</si>
  <si>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</si>
  <si>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</si>
  <si>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</si>
  <si>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</si>
  <si>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</si>
  <si>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</si>
  <si>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</si>
  <si>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</si>
  <si>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</si>
  <si>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</si>
  <si>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</si>
  <si>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</si>
  <si>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</si>
  <si>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</si>
  <si>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</si>
  <si>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</si>
  <si>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</si>
  <si>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</si>
  <si>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</si>
  <si>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</si>
  <si>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</si>
  <si>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</si>
  <si>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</si>
  <si>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</si>
  <si>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</si>
  <si>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</si>
  <si>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</si>
  <si>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</si>
  <si>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</si>
  <si>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</si>
  <si>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</si>
  <si>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</si>
  <si>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</si>
  <si>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</si>
  <si>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</si>
  <si>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</si>
  <si>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</si>
  <si>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</si>
  <si>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</si>
  <si>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</si>
  <si>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</si>
  <si>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</si>
  <si>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</si>
  <si>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</si>
  <si>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</si>
  <si>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</si>
  <si>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</si>
  <si>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</si>
  <si>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</si>
  <si>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</si>
  <si>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</si>
  <si>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</si>
  <si>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</si>
  <si>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</si>
  <si>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</si>
  <si>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</si>
  <si>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</si>
  <si>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</si>
  <si>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</si>
  <si>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</si>
  <si>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</si>
  <si>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</si>
  <si>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</si>
  <si>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</si>
  <si>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</si>
  <si>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</si>
  <si>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</si>
  <si>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</si>
  <si>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</si>
  <si>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</si>
  <si>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</si>
  <si>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</si>
  <si>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</si>
  <si>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</si>
  <si>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</si>
  <si>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</si>
  <si>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</si>
  <si>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</si>
  <si>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</si>
  <si>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</si>
  <si>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</si>
  <si>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</si>
  <si>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</si>
  <si>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</si>
  <si>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</si>
  <si>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</si>
  <si>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</si>
  <si>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</si>
  <si>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</si>
  <si>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</si>
  <si>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</si>
  <si>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</si>
  <si>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</si>
  <si>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</si>
  <si>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</si>
  <si>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</si>
  <si>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</si>
  <si>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</si>
  <si>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</si>
  <si>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</si>
  <si>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</si>
  <si>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</si>
  <si>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</si>
  <si>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</si>
  <si>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</si>
  <si>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</si>
  <si>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</si>
  <si>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</si>
  <si>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</si>
  <si>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</si>
  <si>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</si>
  <si>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</si>
  <si>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</si>
  <si>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</si>
  <si>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</si>
  <si>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</si>
  <si>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</si>
  <si>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</si>
  <si>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</si>
  <si>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</si>
  <si>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</si>
  <si>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</si>
  <si>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</si>
  <si>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</si>
  <si>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</si>
  <si>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</si>
  <si>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</si>
  <si>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</si>
  <si>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</si>
  <si>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</si>
  <si>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</si>
  <si>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</si>
  <si>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</si>
  <si>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</si>
  <si>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</si>
  <si>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</si>
  <si>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</si>
  <si>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</si>
  <si>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</si>
  <si>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</si>
  <si>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</si>
  <si>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</si>
  <si>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</si>
  <si>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</si>
  <si>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</si>
  <si>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</si>
  <si>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</si>
  <si>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</si>
  <si>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</si>
  <si>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</si>
  <si>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</si>
  <si>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</si>
  <si>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</si>
  <si>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</si>
  <si>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</si>
  <si>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</si>
  <si>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</si>
  <si>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</si>
  <si>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</si>
  <si>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</si>
  <si>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</si>
  <si>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</si>
  <si>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</si>
  <si>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</si>
  <si>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</si>
  <si>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</si>
  <si>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</si>
  <si>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</si>
  <si>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</si>
  <si>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</si>
  <si>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</si>
  <si>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</si>
  <si>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</si>
  <si>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</si>
  <si>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</si>
  <si>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</si>
  <si>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</si>
  <si>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</si>
  <si>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</si>
  <si>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</si>
  <si>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</si>
  <si>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</si>
  <si>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</si>
  <si>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</si>
  <si>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</si>
  <si>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</si>
  <si>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</si>
  <si>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</si>
  <si>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</si>
  <si>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</si>
  <si>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</si>
  <si>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</si>
  <si>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</si>
  <si>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</si>
  <si>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</si>
  <si>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</si>
  <si>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</si>
  <si>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</si>
  <si>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</si>
  <si>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</si>
  <si>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</si>
  <si>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</si>
  <si>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</si>
  <si>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</si>
  <si>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</si>
  <si>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</si>
  <si>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</si>
  <si>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</si>
  <si>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</si>
  <si>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</si>
  <si>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</si>
  <si>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</si>
  <si>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</si>
  <si>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</si>
  <si>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</si>
  <si>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</si>
  <si>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</si>
  <si>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</si>
  <si>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</si>
  <si>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</si>
  <si>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</si>
  <si>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</si>
  <si>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</si>
  <si>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</si>
  <si>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</si>
  <si>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</si>
  <si>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</si>
  <si>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</si>
  <si>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</si>
  <si>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</si>
  <si>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</si>
  <si>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</si>
  <si>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</si>
  <si>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</si>
  <si>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</si>
  <si>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</si>
  <si>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</si>
  <si>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</si>
  <si>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</si>
  <si>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</si>
  <si>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</si>
  <si>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</si>
  <si>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</si>
  <si>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</si>
  <si>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</si>
  <si>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</si>
  <si>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</si>
  <si>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</si>
  <si>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</si>
  <si>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</si>
  <si>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</si>
  <si>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</si>
  <si>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</si>
  <si>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To navigate or view the content of this model, click on the 'Table of Contents' hyperlink above.</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</si>
  <si>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</si>
  <si>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</si>
  <si>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</si>
  <si>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</si>
  <si>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</si>
  <si>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</si>
  <si>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</si>
  <si>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</si>
  <si>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</si>
  <si>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</si>
  <si>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</si>
  <si>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</si>
  <si>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</si>
  <si>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</si>
  <si>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</si>
  <si>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</si>
  <si>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</si>
  <si>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</si>
  <si>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</si>
  <si>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</si>
  <si>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</si>
  <si>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</si>
  <si>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</si>
  <si>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</si>
  <si>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</si>
  <si>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</si>
  <si>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</si>
  <si>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</si>
  <si>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</si>
  <si>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</si>
  <si>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</si>
  <si>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</si>
  <si>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</si>
  <si>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</si>
  <si>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</si>
  <si>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</si>
  <si>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</si>
  <si>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</si>
  <si>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</si>
  <si>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</si>
  <si>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</si>
  <si>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</si>
  <si>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</si>
  <si>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</si>
  <si>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</si>
  <si>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</si>
  <si>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</si>
  <si>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</si>
  <si>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</si>
  <si>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</si>
  <si>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</si>
  <si>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</si>
  <si>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</si>
  <si>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</si>
  <si>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</si>
  <si>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</si>
  <si>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</si>
  <si>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</si>
  <si>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</si>
  <si>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</si>
  <si>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</si>
  <si>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</si>
  <si>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</si>
  <si>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</si>
  <si>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</si>
  <si>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</si>
  <si>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</si>
  <si>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</si>
  <si>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</si>
  <si>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</si>
  <si>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</si>
  <si>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</si>
  <si>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</si>
  <si>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</si>
  <si>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</si>
  <si>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</si>
  <si>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</si>
  <si>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</si>
  <si>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</si>
  <si>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</si>
  <si>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</si>
  <si>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</si>
  <si>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</si>
  <si>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</si>
  <si>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</si>
  <si>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</si>
  <si>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</si>
  <si>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</si>
  <si>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</si>
  <si>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</si>
  <si>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</si>
  <si>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</si>
  <si>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</si>
  <si>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</si>
  <si>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</si>
  <si>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</si>
  <si>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</si>
  <si>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</si>
  <si>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</si>
  <si>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</si>
  <si>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</si>
  <si>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</si>
  <si>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</si>
  <si>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</si>
  <si>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</si>
  <si>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</si>
  <si>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</si>
  <si>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</si>
  <si>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</si>
  <si>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</si>
  <si>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</si>
  <si>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</si>
  <si>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</si>
  <si>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</si>
  <si>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</si>
  <si>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</si>
  <si>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</si>
  <si>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</si>
  <si>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</si>
  <si>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</si>
  <si>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</si>
  <si>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</si>
  <si>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</si>
  <si>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</si>
  <si>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</si>
  <si>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</si>
  <si>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</si>
  <si>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</si>
  <si>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</si>
  <si>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</si>
  <si>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</si>
  <si>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</si>
  <si>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</si>
  <si>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</si>
  <si>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</si>
  <si>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</si>
  <si>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</si>
  <si>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</si>
  <si>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</si>
  <si>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</si>
  <si>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</si>
  <si>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</si>
  <si>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</si>
  <si>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</si>
  <si>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</si>
  <si>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</si>
  <si>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</si>
  <si>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</si>
  <si>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</si>
  <si>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</si>
  <si>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</si>
  <si>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</si>
  <si>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</si>
  <si>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</si>
  <si>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</si>
  <si>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</si>
  <si>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</si>
  <si>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</si>
  <si>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</si>
  <si>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</si>
  <si>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</si>
  <si>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</si>
  <si>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</si>
  <si>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</si>
  <si>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</si>
  <si>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</si>
  <si>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</si>
  <si>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</si>
  <si>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</si>
  <si>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</si>
  <si>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</si>
  <si>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</si>
  <si>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</si>
  <si>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</si>
  <si>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</si>
  <si>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</si>
  <si>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</si>
  <si>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</si>
  <si>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</si>
  <si>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Notes:</t>
  </si>
  <si>
    <t>www.bestpracticemodelling.com</t>
  </si>
  <si>
    <t>The purpose of this model is to provide an example of a historical forecast business planning model developed using bpmToolbox in accordance with the Best Practice Spreadsheet Modelling Standards.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</si>
  <si>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</si>
  <si>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</si>
  <si>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</si>
  <si>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</si>
  <si>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</si>
  <si>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www.bestpracticemodelling.com/downloads/standards</t>
  </si>
  <si>
    <t>Cash Flow Statement - Historical Assumptions</t>
  </si>
  <si>
    <t>Presentation**</t>
  </si>
  <si>
    <t>Contains presentation outputs that are exempt from the requirements of the best practice modelling standards and conventions.</t>
  </si>
  <si>
    <t>P</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</si>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</sst>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45">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45" fillId="0" borderId="0" xfId="76">
      <alignment vertical="center"/>
    </xf>
    <xf numFmtId="0" fontId="45" fillId="0" borderId="0" xfId="76" applyFill="1">
      <alignment vertical="center"/>
    </xf>
    <xf numFmtId="0" fontId="0" fillId="2" borderId="0" xfId="0" applyFill="1">
      <alignment vertical="center"/>
    </xf>
    <xf numFmtId="0" fontId="45" fillId="2" borderId="0" xfId="76" applyFill="1">
      <alignment vertical="center"/>
    </xf>
    <xf numFmtId="0" fontId="51" fillId="2" borderId="0" xfId="1" applyFill="1" applyAlignment="1" applyProtection="1">
      <alignment vertical="center"/>
    </xf>
    <xf numFmtId="0" fontId="51" fillId="0" borderId="0" xfId="1" applyFill="1" applyAlignment="1" applyProtection="1">
      <alignment vertical="center"/>
    </xf>
    <xf numFmtId="0" fontId="55" fillId="0" borderId="0" xfId="56" applyFont="1" applyAlignment="1">
      <alignment horizontal="left" vertical="center"/>
    </xf>
    <xf numFmtId="0" fontId="45" fillId="0" borderId="0" xfId="76">
      <alignment vertical="center"/>
    </xf>
    <xf numFmtId="0" fontId="81" fillId="0" borderId="1" xfId="65" applyFont="1" applyBorder="1" applyAlignment="1">
      <alignment horizontal="center" vertical="center"/>
      <protection locked="0"/>
    </xf>
    <xf numFmtId="0" fontId="0" fillId="0" borderId="0" xfId="0" applyFill="1" applyAlignment="1">
      <alignment vertical="top"/>
    </xf>
    <xf numFmtId="0" fontId="55" fillId="0" borderId="0" xfId="56" applyFont="1" applyAlignment="1">
      <alignment horizontal="center" vertical="center"/>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0" fontId="49" fillId="0" borderId="0" xfId="80" applyAlignment="1">
      <alignment horizontal="righ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5" fillId="0" borderId="0" xfId="56" quotePrefix="1" applyFont="1" applyFill="1" applyAlignment="1">
      <alignment vertical="top"/>
    </xf>
    <xf numFmtId="0" fontId="55" fillId="0" borderId="0" xfId="56" applyFont="1" applyFill="1" applyAlignment="1">
      <alignment vertical="top" wrapText="1"/>
    </xf>
    <xf numFmtId="0" fontId="0" fillId="0" borderId="0" xfId="0" applyFill="1" applyAlignment="1">
      <alignment vertical="top"/>
    </xf>
    <xf numFmtId="0" fontId="54" fillId="0" borderId="0" xfId="55" applyFont="1" applyFill="1" applyAlignment="1">
      <alignment vertical="top"/>
    </xf>
    <xf numFmtId="0" fontId="6" fillId="0" borderId="0" xfId="0" quotePrefix="1" applyFont="1" applyFill="1" applyAlignment="1">
      <alignment horizontal="right" vertical="top"/>
    </xf>
    <xf numFmtId="0" fontId="55" fillId="0" borderId="0" xfId="56" applyFont="1" applyFill="1">
      <alignment vertical="center"/>
    </xf>
    <xf numFmtId="0" fontId="45" fillId="0" borderId="0" xfId="76" applyFill="1">
      <alignment vertical="center"/>
    </xf>
    <xf numFmtId="0" fontId="6" fillId="0" borderId="0" xfId="0" applyFont="1" applyFill="1" applyAlignment="1">
      <alignment vertical="top"/>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0" fillId="38" borderId="38" xfId="0" applyFill="1" applyBorder="1">
      <alignment vertical="center"/>
    </xf>
    <xf numFmtId="0" fontId="0" fillId="38" borderId="39" xfId="0" applyFill="1" applyBorder="1">
      <alignment vertical="center"/>
    </xf>
    <xf numFmtId="0" fontId="56" fillId="0" borderId="2" xfId="54" applyFont="1" applyBorder="1" applyAlignment="1">
      <alignment horizontal="center" vertical="center"/>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0" fontId="45" fillId="2" borderId="0" xfId="76" applyFill="1">
      <alignment vertical="center"/>
    </xf>
    <xf numFmtId="0" fontId="55" fillId="2" borderId="0" xfId="56" applyFont="1" applyFill="1" applyAlignment="1">
      <alignment horizontal="center" vertical="center"/>
    </xf>
    <xf numFmtId="0" fontId="42" fillId="2" borderId="0" xfId="56" applyFont="1" applyFill="1" applyAlignment="1">
      <alignment horizontal="center" vertical="center"/>
    </xf>
    <xf numFmtId="178" fontId="43" fillId="2" borderId="0" xfId="67" applyFont="1" applyFill="1" applyAlignment="1">
      <alignment horizontal="center" vertical="center"/>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172" fontId="43" fillId="2" borderId="0" xfId="68" applyNumberFormat="1"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2" fontId="65" fillId="2" borderId="0" xfId="68" applyNumberFormat="1" applyFont="1" applyFill="1" applyAlignment="1">
      <alignment horizontal="center"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0" borderId="0" xfId="87" applyFont="1" applyFill="1" applyBorder="1"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6817024"/>
        <c:axId val="296818560"/>
      </c:barChart>
      <c:catAx>
        <c:axId val="296817024"/>
        <c:scaling>
          <c:orientation val="minMax"/>
        </c:scaling>
        <c:axPos val="b"/>
        <c:tickLblPos val="nextTo"/>
        <c:txPr>
          <a:bodyPr/>
          <a:lstStyle/>
          <a:p>
            <a:pPr>
              <a:defRPr lang="en-AU"/>
            </a:pPr>
            <a:endParaRPr lang="en-US"/>
          </a:p>
        </c:txPr>
        <c:crossAx val="296818560"/>
        <c:crosses val="autoZero"/>
        <c:auto val="1"/>
        <c:lblAlgn val="ctr"/>
        <c:lblOffset val="100"/>
      </c:catAx>
      <c:valAx>
        <c:axId val="296818560"/>
        <c:scaling>
          <c:orientation val="minMax"/>
        </c:scaling>
        <c:axPos val="l"/>
        <c:numFmt formatCode="_(#,##0_);\(#,##0\);_(&quot;-&quot;_)" sourceLinked="1"/>
        <c:tickLblPos val="nextTo"/>
        <c:txPr>
          <a:bodyPr/>
          <a:lstStyle/>
          <a:p>
            <a:pPr>
              <a:defRPr lang="en-AU"/>
            </a:pPr>
            <a:endParaRPr lang="en-US"/>
          </a:p>
        </c:txPr>
        <c:crossAx val="296817024"/>
        <c:crosses val="autoZero"/>
        <c:crossBetween val="between"/>
      </c:valAx>
    </c:plotArea>
    <c:legend>
      <c:legendPos val="t"/>
      <c:layout>
        <c:manualLayout>
          <c:xMode val="edge"/>
          <c:yMode val="edge"/>
          <c:x val="0.26768147404731435"/>
          <c:y val="0.1231018518518526"/>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84530176"/>
        <c:axId val="284531712"/>
      </c:barChart>
      <c:catAx>
        <c:axId val="284530176"/>
        <c:scaling>
          <c:orientation val="minMax"/>
        </c:scaling>
        <c:axPos val="b"/>
        <c:tickLblPos val="nextTo"/>
        <c:txPr>
          <a:bodyPr/>
          <a:lstStyle/>
          <a:p>
            <a:pPr>
              <a:defRPr lang="en-AU"/>
            </a:pPr>
            <a:endParaRPr lang="en-US"/>
          </a:p>
        </c:txPr>
        <c:crossAx val="284531712"/>
        <c:crosses val="autoZero"/>
        <c:auto val="1"/>
        <c:lblAlgn val="ctr"/>
        <c:lblOffset val="100"/>
      </c:catAx>
      <c:valAx>
        <c:axId val="284531712"/>
        <c:scaling>
          <c:orientation val="minMax"/>
        </c:scaling>
        <c:axPos val="l"/>
        <c:numFmt formatCode="_(#,##0.0_);\(#,##0.0\);_(&quot;-&quot;_)" sourceLinked="1"/>
        <c:tickLblPos val="nextTo"/>
        <c:txPr>
          <a:bodyPr/>
          <a:lstStyle/>
          <a:p>
            <a:pPr>
              <a:defRPr lang="en-AU"/>
            </a:pPr>
            <a:endParaRPr lang="en-US"/>
          </a:p>
        </c:txPr>
        <c:crossAx val="284530176"/>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251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4789760"/>
        <c:axId val="284791936"/>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84789760"/>
        <c:axId val="284791936"/>
      </c:lineChart>
      <c:catAx>
        <c:axId val="284789760"/>
        <c:scaling>
          <c:orientation val="minMax"/>
        </c:scaling>
        <c:axPos val="b"/>
        <c:numFmt formatCode="General" sourceLinked="1"/>
        <c:tickLblPos val="low"/>
        <c:txPr>
          <a:bodyPr/>
          <a:lstStyle/>
          <a:p>
            <a:pPr>
              <a:defRPr lang="en-AU"/>
            </a:pPr>
            <a:endParaRPr lang="en-US"/>
          </a:p>
        </c:txPr>
        <c:crossAx val="284791936"/>
        <c:crosses val="autoZero"/>
        <c:auto val="1"/>
        <c:lblAlgn val="ctr"/>
        <c:lblOffset val="100"/>
      </c:catAx>
      <c:valAx>
        <c:axId val="284791936"/>
        <c:scaling>
          <c:orientation val="minMax"/>
        </c:scaling>
        <c:axPos val="l"/>
        <c:numFmt formatCode="_(#,##0_);\(#,##0\);_(&quot;-&quot;_)" sourceLinked="1"/>
        <c:tickLblPos val="nextTo"/>
        <c:txPr>
          <a:bodyPr/>
          <a:lstStyle/>
          <a:p>
            <a:pPr>
              <a:defRPr lang="en-AU"/>
            </a:pPr>
            <a:endParaRPr lang="en-US"/>
          </a:p>
        </c:txPr>
        <c:crossAx val="284789760"/>
        <c:crosses val="autoZero"/>
        <c:crossBetween val="between"/>
      </c:valAx>
    </c:plotArea>
    <c:legend>
      <c:legendPos val="t"/>
      <c:layout>
        <c:manualLayout>
          <c:xMode val="edge"/>
          <c:yMode val="edge"/>
          <c:x val="0.14018584724263231"/>
          <c:y val="0.10425608794268026"/>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66"/>
          <c:w val="0.84857961234447421"/>
          <c:h val="0.50774180385912071"/>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85083136"/>
        <c:axId val="285084672"/>
      </c:barChart>
      <c:catAx>
        <c:axId val="285083136"/>
        <c:scaling>
          <c:orientation val="minMax"/>
        </c:scaling>
        <c:axPos val="b"/>
        <c:tickLblPos val="nextTo"/>
        <c:txPr>
          <a:bodyPr/>
          <a:lstStyle/>
          <a:p>
            <a:pPr>
              <a:defRPr lang="en-AU"/>
            </a:pPr>
            <a:endParaRPr lang="en-US"/>
          </a:p>
        </c:txPr>
        <c:crossAx val="285084672"/>
        <c:crosses val="autoZero"/>
        <c:auto val="1"/>
        <c:lblAlgn val="ctr"/>
        <c:lblOffset val="100"/>
      </c:catAx>
      <c:valAx>
        <c:axId val="285084672"/>
        <c:scaling>
          <c:orientation val="minMax"/>
        </c:scaling>
        <c:axPos val="l"/>
        <c:numFmt formatCode="_(#,##0_);\(#,##0\);_(&quot;-&quot;_)" sourceLinked="1"/>
        <c:tickLblPos val="nextTo"/>
        <c:txPr>
          <a:bodyPr/>
          <a:lstStyle/>
          <a:p>
            <a:pPr>
              <a:defRPr lang="en-AU"/>
            </a:pPr>
            <a:endParaRPr lang="en-US"/>
          </a:p>
        </c:txPr>
        <c:crossAx val="285083136"/>
        <c:crosses val="autoZero"/>
        <c:crossBetween val="between"/>
      </c:valAx>
    </c:plotArea>
    <c:legend>
      <c:legendPos val="t"/>
      <c:layout>
        <c:manualLayout>
          <c:xMode val="edge"/>
          <c:yMode val="edge"/>
          <c:x val="0.16047671748441447"/>
          <c:y val="0.12310185185185263"/>
          <c:w val="0.73614726725850999"/>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33" l="0.70000000000000062" r="0.70000000000000062" t="0.750000000000005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77"/>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85105536"/>
        <c:axId val="285111424"/>
      </c:barChart>
      <c:catAx>
        <c:axId val="285105536"/>
        <c:scaling>
          <c:orientation val="minMax"/>
        </c:scaling>
        <c:axPos val="b"/>
        <c:tickLblPos val="nextTo"/>
        <c:txPr>
          <a:bodyPr/>
          <a:lstStyle/>
          <a:p>
            <a:pPr>
              <a:defRPr lang="en-AU"/>
            </a:pPr>
            <a:endParaRPr lang="en-US"/>
          </a:p>
        </c:txPr>
        <c:crossAx val="285111424"/>
        <c:crosses val="autoZero"/>
        <c:auto val="1"/>
        <c:lblAlgn val="ctr"/>
        <c:lblOffset val="100"/>
      </c:catAx>
      <c:valAx>
        <c:axId val="285111424"/>
        <c:scaling>
          <c:orientation val="minMax"/>
        </c:scaling>
        <c:axPos val="l"/>
        <c:numFmt formatCode="_(#,##0_);\(#,##0\);_(&quot;-&quot;_)" sourceLinked="1"/>
        <c:tickLblPos val="nextTo"/>
        <c:txPr>
          <a:bodyPr/>
          <a:lstStyle/>
          <a:p>
            <a:pPr>
              <a:defRPr lang="en-AU"/>
            </a:pPr>
            <a:endParaRPr lang="en-US"/>
          </a:p>
        </c:txPr>
        <c:crossAx val="285105536"/>
        <c:crosses val="autoZero"/>
        <c:crossBetween val="between"/>
      </c:valAx>
    </c:plotArea>
    <c:legend>
      <c:legendPos val="t"/>
      <c:layout>
        <c:manualLayout>
          <c:xMode val="edge"/>
          <c:yMode val="edge"/>
          <c:x val="0.20259287184841079"/>
          <c:y val="0.12310185185185263"/>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 TargetMode="Externa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6.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26.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xml"/><Relationship Id="rId1" Type="http://schemas.openxmlformats.org/officeDocument/2006/relationships/printerSettings" Target="../printerSettings/printerSettings32.bin"/><Relationship Id="rId4" Type="http://schemas.openxmlformats.org/officeDocument/2006/relationships/vmlDrawing" Target="../drawings/vmlDrawing26.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7" s="16" customFormat="1"/>
    <row r="3" spans="3:7" s="16" customFormat="1"/>
    <row r="4" spans="3:7" s="16" customFormat="1"/>
    <row r="5" spans="3:7" s="16" customFormat="1"/>
    <row r="6" spans="3:7" s="16" customFormat="1"/>
    <row r="7" spans="3:7" s="16" customFormat="1"/>
    <row r="9" spans="3:7" ht="18">
      <c r="C9" s="1" t="s">
        <v>458</v>
      </c>
    </row>
    <row r="10" spans="3:7" ht="15">
      <c r="C10" s="3" t="str">
        <f ca="1">"SMA 2. Workbook Structure - Best Practice Model Example"&amp;Err_Chks_Msg&amp;Sens_Chks_Msg&amp;Alt_Chks_Msg</f>
        <v>SMA 2. Workbook Structure - Best Practice Model Example</v>
      </c>
    </row>
    <row r="11" spans="3:7">
      <c r="C11" s="279" t="s">
        <v>48</v>
      </c>
      <c r="D11" s="279"/>
      <c r="E11" s="279"/>
      <c r="F11" s="279"/>
      <c r="G11" s="279"/>
    </row>
    <row r="19" spans="3:14">
      <c r="C19" s="26" t="s">
        <v>288</v>
      </c>
    </row>
    <row r="21" spans="3:14">
      <c r="C21" s="26" t="s">
        <v>460</v>
      </c>
    </row>
    <row r="22" spans="3:14">
      <c r="C22" s="37" t="s">
        <v>202</v>
      </c>
      <c r="D22" s="171" t="s">
        <v>572</v>
      </c>
    </row>
    <row r="23" spans="3:14">
      <c r="C23" s="37" t="s">
        <v>202</v>
      </c>
      <c r="D23" s="280" t="s">
        <v>589</v>
      </c>
      <c r="E23" s="280"/>
      <c r="F23" s="280"/>
      <c r="G23" s="280"/>
      <c r="H23" s="280"/>
      <c r="I23" s="280"/>
      <c r="J23" s="280"/>
      <c r="K23" s="280"/>
      <c r="L23" s="280"/>
      <c r="M23" s="280"/>
      <c r="N23" s="280"/>
    </row>
    <row r="24" spans="3:14">
      <c r="C24" s="111"/>
      <c r="D24" s="280"/>
      <c r="E24" s="280"/>
      <c r="F24" s="280"/>
      <c r="G24" s="280"/>
      <c r="H24" s="280"/>
      <c r="I24" s="280"/>
      <c r="J24" s="280"/>
      <c r="K24" s="280"/>
      <c r="L24" s="280"/>
      <c r="M24" s="280"/>
      <c r="N24" s="280"/>
    </row>
    <row r="25" spans="3:14">
      <c r="C25" s="37" t="s">
        <v>202</v>
      </c>
      <c r="D25" s="7" t="s">
        <v>407</v>
      </c>
    </row>
    <row r="26" spans="3:14" s="16" customFormat="1">
      <c r="C26" s="269" t="s">
        <v>202</v>
      </c>
      <c r="D26" s="171" t="s">
        <v>571</v>
      </c>
      <c r="E26" s="5"/>
      <c r="F26" s="5"/>
      <c r="G26" s="5"/>
      <c r="H26" s="5"/>
      <c r="I26" s="5"/>
      <c r="J26" s="5"/>
      <c r="K26" s="5"/>
      <c r="L26" s="5"/>
      <c r="M26" s="5"/>
    </row>
    <row r="27" spans="3:14" s="16" customFormat="1">
      <c r="C27" s="269" t="s">
        <v>202</v>
      </c>
      <c r="D27" s="171" t="s">
        <v>590</v>
      </c>
      <c r="E27" s="5"/>
      <c r="F27" s="5"/>
      <c r="G27" s="5"/>
      <c r="H27" s="5"/>
      <c r="I27" s="5"/>
      <c r="J27" s="5"/>
      <c r="K27" s="5"/>
      <c r="L27" s="5"/>
      <c r="M27" s="5"/>
    </row>
    <row r="28" spans="3:14">
      <c r="C28" s="37" t="s">
        <v>202</v>
      </c>
      <c r="D28" s="148" t="s">
        <v>459</v>
      </c>
      <c r="H28" s="10" t="str">
        <f>Notes_BO!$B$1</f>
        <v>Model Notes</v>
      </c>
      <c r="I28" s="9"/>
    </row>
    <row r="33" spans="10:12">
      <c r="J33" s="16"/>
    </row>
    <row r="34" spans="10:12">
      <c r="L34" s="246"/>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legacyDrawing r:id="rId5"/>
</worksheet>
</file>

<file path=xl/worksheets/sheet2.xml><?xml version="1.0" encoding="utf-8"?>
<worksheet xmlns="http://schemas.openxmlformats.org/spreadsheetml/2006/main" xmlns:r="http://schemas.openxmlformats.org/officeDocument/2006/relationships">
  <sheetPr codeName="Sheet2">
    <pageSetUpPr autoPageBreaks="0"/>
  </sheetPr>
  <dimension ref="A1:W64"/>
  <sheetViews>
    <sheetView showGridLines="0" zoomScaleNormal="100" workbookViewId="0">
      <pane xSplit="1" ySplit="6" topLeftCell="B7" activePane="bottomRight" state="frozen"/>
      <selection pane="topRight"/>
      <selection pane="bottomLeft"/>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4" max="15" width="11.83203125" customWidth="1"/>
    <col min="17" max="17" width="9.1640625" customWidth="1"/>
  </cols>
  <sheetData>
    <row r="1" spans="1:23" ht="18">
      <c r="B1" s="1" t="s">
        <v>49</v>
      </c>
    </row>
    <row r="2" spans="1:23" ht="15">
      <c r="B2" s="2" t="str">
        <f ca="1">Model_Name</f>
        <v>SMA 2. Workbook Structure - Best Practice Model Example</v>
      </c>
      <c r="Q2" s="16"/>
      <c r="R2" s="16"/>
      <c r="S2" s="16"/>
      <c r="T2" s="16"/>
      <c r="U2" s="16"/>
      <c r="V2" s="16"/>
      <c r="W2" s="16"/>
    </row>
    <row r="3" spans="1:23">
      <c r="B3" s="279" t="s">
        <v>50</v>
      </c>
      <c r="C3" s="279"/>
      <c r="D3" s="279"/>
      <c r="E3" s="279"/>
      <c r="F3" s="279"/>
      <c r="G3" s="279"/>
      <c r="H3" s="279"/>
      <c r="I3" s="279"/>
      <c r="J3" s="271"/>
      <c r="P3" s="16"/>
      <c r="Q3" s="16"/>
      <c r="R3" s="16"/>
      <c r="S3" s="16"/>
      <c r="T3" s="16"/>
      <c r="U3" s="16"/>
      <c r="V3" s="16"/>
      <c r="W3" s="16"/>
    </row>
    <row r="6" spans="1:23" s="22" customFormat="1" ht="12.75">
      <c r="A6" s="106" t="s">
        <v>51</v>
      </c>
      <c r="B6" s="253" t="s">
        <v>52</v>
      </c>
      <c r="C6" s="18"/>
      <c r="D6" s="18"/>
      <c r="E6" s="18"/>
      <c r="F6" s="18"/>
      <c r="G6" s="18"/>
      <c r="H6" s="18"/>
      <c r="I6" s="18"/>
      <c r="J6" s="18"/>
      <c r="K6" s="18"/>
      <c r="L6" s="18"/>
      <c r="M6" s="18"/>
      <c r="N6" s="18"/>
      <c r="O6" s="18"/>
      <c r="P6" s="18"/>
      <c r="Q6" s="254" t="s">
        <v>569</v>
      </c>
    </row>
    <row r="8" spans="1:23" ht="19.149999999999999" customHeight="1">
      <c r="B8" s="285">
        <v>1</v>
      </c>
      <c r="C8" s="285"/>
      <c r="D8" s="286" t="str">
        <f>Overview_SC!C9</f>
        <v>Overview</v>
      </c>
      <c r="E8" s="286"/>
      <c r="F8" s="286"/>
      <c r="G8" s="286"/>
      <c r="H8" s="286"/>
      <c r="I8" s="286"/>
      <c r="J8" s="286"/>
      <c r="K8" s="286"/>
      <c r="L8" s="286"/>
      <c r="M8" s="286"/>
      <c r="N8" s="286"/>
      <c r="O8" s="286"/>
      <c r="P8" s="286"/>
      <c r="Q8" s="255">
        <v>4</v>
      </c>
    </row>
    <row r="9" spans="1:23" ht="11.25">
      <c r="D9" s="283" t="s">
        <v>193</v>
      </c>
      <c r="E9" s="283"/>
      <c r="F9" s="287" t="str">
        <f>Notes_SSC!C9</f>
        <v>Notes</v>
      </c>
      <c r="G9" s="287"/>
      <c r="H9" s="287"/>
      <c r="I9" s="287"/>
      <c r="J9" s="287"/>
      <c r="K9" s="287"/>
      <c r="L9" s="287"/>
      <c r="M9" s="287"/>
      <c r="N9" s="287"/>
      <c r="O9" s="287"/>
      <c r="P9" s="287"/>
      <c r="Q9" s="256">
        <v>5</v>
      </c>
    </row>
    <row r="10" spans="1:23" outlineLevel="1">
      <c r="F10" s="281" t="s">
        <v>194</v>
      </c>
      <c r="G10" s="281"/>
      <c r="H10" s="282" t="str">
        <f>Notes_BO!B1</f>
        <v>Model Notes</v>
      </c>
      <c r="I10" s="282"/>
      <c r="J10" s="282"/>
      <c r="K10" s="282"/>
      <c r="L10" s="282"/>
      <c r="M10" s="282"/>
      <c r="N10" s="282"/>
      <c r="O10" s="282"/>
      <c r="P10" s="282"/>
      <c r="Q10" s="257">
        <v>6</v>
      </c>
    </row>
    <row r="11" spans="1:23" ht="11.25">
      <c r="D11" s="283" t="s">
        <v>198</v>
      </c>
      <c r="E11" s="283"/>
      <c r="F11" s="287" t="str">
        <f>Keys_SSC!C9</f>
        <v>Keys</v>
      </c>
      <c r="G11" s="287"/>
      <c r="H11" s="287"/>
      <c r="I11" s="287"/>
      <c r="J11" s="287"/>
      <c r="K11" s="287"/>
      <c r="L11" s="287"/>
      <c r="M11" s="287"/>
      <c r="N11" s="287"/>
      <c r="O11" s="287"/>
      <c r="P11" s="287"/>
      <c r="Q11" s="256">
        <v>7</v>
      </c>
    </row>
    <row r="12" spans="1:23" outlineLevel="1">
      <c r="F12" s="281" t="s">
        <v>194</v>
      </c>
      <c r="G12" s="281"/>
      <c r="H12" s="282" t="str">
        <f>Keys_BO!B1</f>
        <v>Keys</v>
      </c>
      <c r="I12" s="282"/>
      <c r="J12" s="282"/>
      <c r="K12" s="282"/>
      <c r="L12" s="282"/>
      <c r="M12" s="282"/>
      <c r="N12" s="282"/>
      <c r="O12" s="282"/>
      <c r="P12" s="282"/>
      <c r="Q12" s="257">
        <v>8</v>
      </c>
    </row>
    <row r="13" spans="1:23" outlineLevel="1">
      <c r="H13" s="105" t="s">
        <v>202</v>
      </c>
      <c r="I13" s="284" t="str">
        <f>TOC_Hdg_1</f>
        <v>Formats &amp; Styles Key</v>
      </c>
      <c r="J13" s="284"/>
      <c r="K13" s="284"/>
      <c r="L13" s="284"/>
      <c r="M13" s="284"/>
      <c r="N13" s="284"/>
      <c r="O13" s="284"/>
      <c r="P13" s="284"/>
      <c r="Q13" s="105" t="s">
        <v>202</v>
      </c>
    </row>
    <row r="14" spans="1:23" outlineLevel="1">
      <c r="H14" s="105" t="s">
        <v>202</v>
      </c>
      <c r="I14" s="284" t="str">
        <f>TOC_Hdg_2</f>
        <v>Sheet Naming Key</v>
      </c>
      <c r="J14" s="284"/>
      <c r="K14" s="284"/>
      <c r="L14" s="284"/>
      <c r="M14" s="284"/>
      <c r="N14" s="284"/>
      <c r="O14" s="284"/>
      <c r="P14" s="284"/>
      <c r="Q14" s="105" t="s">
        <v>202</v>
      </c>
    </row>
    <row r="15" spans="1:23" outlineLevel="1">
      <c r="H15" s="105" t="s">
        <v>202</v>
      </c>
      <c r="I15" s="284" t="str">
        <f>TOC_Hdg_3</f>
        <v>Range Naming Key</v>
      </c>
      <c r="J15" s="284"/>
      <c r="K15" s="284"/>
      <c r="L15" s="284"/>
      <c r="M15" s="284"/>
      <c r="N15" s="284"/>
      <c r="O15" s="284"/>
      <c r="P15" s="284"/>
      <c r="Q15" s="105" t="s">
        <v>202</v>
      </c>
    </row>
    <row r="16" spans="1:23" ht="19.149999999999999" customHeight="1">
      <c r="B16" s="285">
        <v>2</v>
      </c>
      <c r="C16" s="285"/>
      <c r="D16" s="286" t="str">
        <f>Assumptions_SC!C9</f>
        <v>Assumptions</v>
      </c>
      <c r="E16" s="286"/>
      <c r="F16" s="286"/>
      <c r="G16" s="286"/>
      <c r="H16" s="286"/>
      <c r="I16" s="286"/>
      <c r="J16" s="286"/>
      <c r="K16" s="286"/>
      <c r="L16" s="286"/>
      <c r="M16" s="286"/>
      <c r="N16" s="286"/>
      <c r="O16" s="286"/>
      <c r="P16" s="286"/>
      <c r="Q16" s="255">
        <v>11</v>
      </c>
    </row>
    <row r="17" spans="2:17" ht="11.25">
      <c r="D17" s="283" t="s">
        <v>506</v>
      </c>
      <c r="E17" s="283"/>
      <c r="F17" s="287" t="str">
        <f>TS_Ass_SSC!C9</f>
        <v>Time Series Assumptions</v>
      </c>
      <c r="G17" s="287"/>
      <c r="H17" s="287"/>
      <c r="I17" s="287"/>
      <c r="J17" s="287"/>
      <c r="K17" s="287"/>
      <c r="L17" s="287"/>
      <c r="M17" s="287"/>
      <c r="N17" s="287"/>
      <c r="O17" s="287"/>
      <c r="P17" s="287"/>
      <c r="Q17" s="256">
        <v>12</v>
      </c>
    </row>
    <row r="18" spans="2:17" outlineLevel="1">
      <c r="F18" s="281" t="s">
        <v>194</v>
      </c>
      <c r="G18" s="281"/>
      <c r="H18" s="282" t="str">
        <f>TS_BA!B1</f>
        <v>Time Series Assumptions</v>
      </c>
      <c r="I18" s="282"/>
      <c r="J18" s="282"/>
      <c r="K18" s="282"/>
      <c r="L18" s="282"/>
      <c r="M18" s="282"/>
      <c r="N18" s="282"/>
      <c r="O18" s="282"/>
      <c r="P18" s="282"/>
      <c r="Q18" s="257">
        <v>13</v>
      </c>
    </row>
    <row r="19" spans="2:17" ht="11.25">
      <c r="D19" s="283" t="s">
        <v>508</v>
      </c>
      <c r="E19" s="283"/>
      <c r="F19" s="287" t="str">
        <f>Hist_Ass_SSC!C9</f>
        <v>Historical Assumptions</v>
      </c>
      <c r="G19" s="287"/>
      <c r="H19" s="287"/>
      <c r="I19" s="287"/>
      <c r="J19" s="287"/>
      <c r="K19" s="287"/>
      <c r="L19" s="287"/>
      <c r="M19" s="287"/>
      <c r="N19" s="287"/>
      <c r="O19" s="287"/>
      <c r="P19" s="287"/>
      <c r="Q19" s="256">
        <v>14</v>
      </c>
    </row>
    <row r="20" spans="2:17" outlineLevel="1">
      <c r="F20" s="281" t="s">
        <v>194</v>
      </c>
      <c r="G20" s="281"/>
      <c r="H20" s="282" t="str">
        <f>IS_Hist_TA!B1</f>
        <v>Income Statement - Historical Assumptions</v>
      </c>
      <c r="I20" s="282"/>
      <c r="J20" s="282"/>
      <c r="K20" s="282"/>
      <c r="L20" s="282"/>
      <c r="M20" s="282"/>
      <c r="N20" s="282"/>
      <c r="O20" s="282"/>
      <c r="P20" s="282"/>
      <c r="Q20" s="257">
        <v>15</v>
      </c>
    </row>
    <row r="21" spans="2:17" outlineLevel="1">
      <c r="F21" s="281" t="s">
        <v>195</v>
      </c>
      <c r="G21" s="281"/>
      <c r="H21" s="282" t="str">
        <f>BS_Hist_TA!B1</f>
        <v>Balance Sheet - Historical Assumptions</v>
      </c>
      <c r="I21" s="282"/>
      <c r="J21" s="282"/>
      <c r="K21" s="282"/>
      <c r="L21" s="282"/>
      <c r="M21" s="282"/>
      <c r="N21" s="282"/>
      <c r="O21" s="282"/>
      <c r="P21" s="282"/>
      <c r="Q21" s="257">
        <v>16</v>
      </c>
    </row>
    <row r="22" spans="2:17" outlineLevel="1">
      <c r="F22" s="281" t="s">
        <v>196</v>
      </c>
      <c r="G22" s="281"/>
      <c r="H22" s="282" t="str">
        <f>CFS_Hist_TA!B1</f>
        <v>Cash Flow Statement - Historical Assumptions</v>
      </c>
      <c r="I22" s="282"/>
      <c r="J22" s="282"/>
      <c r="K22" s="282"/>
      <c r="L22" s="282"/>
      <c r="M22" s="282"/>
      <c r="N22" s="282"/>
      <c r="O22" s="282"/>
      <c r="P22" s="282"/>
      <c r="Q22" s="257">
        <v>18</v>
      </c>
    </row>
    <row r="23" spans="2:17" ht="11.25">
      <c r="D23" s="283" t="s">
        <v>524</v>
      </c>
      <c r="E23" s="283"/>
      <c r="F23" s="287" t="str">
        <f>Fcast_Ass_SSC!C9</f>
        <v>Forecast Assumptions</v>
      </c>
      <c r="G23" s="287"/>
      <c r="H23" s="287"/>
      <c r="I23" s="287"/>
      <c r="J23" s="287"/>
      <c r="K23" s="287"/>
      <c r="L23" s="287"/>
      <c r="M23" s="287"/>
      <c r="N23" s="287"/>
      <c r="O23" s="287"/>
      <c r="P23" s="287"/>
      <c r="Q23" s="256">
        <v>20</v>
      </c>
    </row>
    <row r="24" spans="2:17" outlineLevel="1">
      <c r="F24" s="281" t="s">
        <v>194</v>
      </c>
      <c r="G24" s="281"/>
      <c r="H24" s="282" t="str">
        <f>Fcast_TA!B1</f>
        <v>Forecast Assumptions</v>
      </c>
      <c r="I24" s="282"/>
      <c r="J24" s="282"/>
      <c r="K24" s="282"/>
      <c r="L24" s="282"/>
      <c r="M24" s="282"/>
      <c r="N24" s="282"/>
      <c r="O24" s="282"/>
      <c r="P24" s="282"/>
      <c r="Q24" s="257">
        <v>21</v>
      </c>
    </row>
    <row r="25" spans="2:17" outlineLevel="1">
      <c r="H25" s="105" t="s">
        <v>202</v>
      </c>
      <c r="I25" s="284" t="str">
        <f>TOC_Hdg_5</f>
        <v>Operational - Assumptions</v>
      </c>
      <c r="J25" s="284"/>
      <c r="K25" s="284"/>
      <c r="L25" s="284"/>
      <c r="M25" s="284"/>
      <c r="N25" s="284"/>
      <c r="O25" s="284"/>
      <c r="P25" s="284"/>
      <c r="Q25" s="105" t="s">
        <v>202</v>
      </c>
    </row>
    <row r="26" spans="2:17" outlineLevel="1">
      <c r="H26" s="105" t="s">
        <v>202</v>
      </c>
      <c r="I26" s="284" t="str">
        <f>TOC_Hdg_9</f>
        <v>Working Capital - Assumptions</v>
      </c>
      <c r="J26" s="284"/>
      <c r="K26" s="284"/>
      <c r="L26" s="284"/>
      <c r="M26" s="284"/>
      <c r="N26" s="284"/>
      <c r="O26" s="284"/>
      <c r="P26" s="284"/>
      <c r="Q26" s="105" t="s">
        <v>202</v>
      </c>
    </row>
    <row r="27" spans="2:17" outlineLevel="1">
      <c r="H27" s="105" t="s">
        <v>202</v>
      </c>
      <c r="I27" s="284" t="str">
        <f>TOC_Hdg_10</f>
        <v>Assets - Assumptions</v>
      </c>
      <c r="J27" s="284"/>
      <c r="K27" s="284"/>
      <c r="L27" s="284"/>
      <c r="M27" s="284"/>
      <c r="N27" s="284"/>
      <c r="O27" s="284"/>
      <c r="P27" s="284"/>
      <c r="Q27" s="105" t="s">
        <v>202</v>
      </c>
    </row>
    <row r="28" spans="2:17" outlineLevel="1">
      <c r="H28" s="105" t="s">
        <v>202</v>
      </c>
      <c r="I28" s="284" t="str">
        <f>TOC_Hdg_11</f>
        <v>Capital - Assumptions</v>
      </c>
      <c r="J28" s="284"/>
      <c r="K28" s="284"/>
      <c r="L28" s="284"/>
      <c r="M28" s="284"/>
      <c r="N28" s="284"/>
      <c r="O28" s="284"/>
      <c r="P28" s="284"/>
      <c r="Q28" s="105" t="s">
        <v>202</v>
      </c>
    </row>
    <row r="29" spans="2:17" outlineLevel="1">
      <c r="H29" s="105" t="s">
        <v>202</v>
      </c>
      <c r="I29" s="284" t="str">
        <f>TOC_Hdg_12</f>
        <v>Taxation - Assumptions</v>
      </c>
      <c r="J29" s="284"/>
      <c r="K29" s="284"/>
      <c r="L29" s="284"/>
      <c r="M29" s="284"/>
      <c r="N29" s="284"/>
      <c r="O29" s="284"/>
      <c r="P29" s="284"/>
      <c r="Q29" s="105" t="s">
        <v>202</v>
      </c>
    </row>
    <row r="30" spans="2:17" outlineLevel="1">
      <c r="H30" s="105" t="s">
        <v>202</v>
      </c>
      <c r="I30" s="284" t="str">
        <f>TOC_Hdg_13</f>
        <v>Other Balance Sheet Items - Assumptions</v>
      </c>
      <c r="J30" s="284"/>
      <c r="K30" s="284"/>
      <c r="L30" s="284"/>
      <c r="M30" s="284"/>
      <c r="N30" s="284"/>
      <c r="O30" s="284"/>
      <c r="P30" s="284"/>
      <c r="Q30" s="105" t="s">
        <v>202</v>
      </c>
    </row>
    <row r="31" spans="2:17" ht="19.149999999999999" customHeight="1">
      <c r="B31" s="285">
        <v>3</v>
      </c>
      <c r="C31" s="285"/>
      <c r="D31" s="286" t="str">
        <f>Outputs_SC!C9</f>
        <v>Outputs</v>
      </c>
      <c r="E31" s="286"/>
      <c r="F31" s="286"/>
      <c r="G31" s="286"/>
      <c r="H31" s="286"/>
      <c r="I31" s="286"/>
      <c r="J31" s="286"/>
      <c r="K31" s="286"/>
      <c r="L31" s="286"/>
      <c r="M31" s="286"/>
      <c r="N31" s="286"/>
      <c r="O31" s="286"/>
      <c r="P31" s="286"/>
      <c r="Q31" s="255">
        <v>26</v>
      </c>
    </row>
    <row r="32" spans="2:17" ht="11.25">
      <c r="D32" s="283" t="s">
        <v>510</v>
      </c>
      <c r="E32" s="283"/>
      <c r="F32" s="287" t="str">
        <f>Hist_OP_SSC!C9</f>
        <v>Historical Outputs</v>
      </c>
      <c r="G32" s="287"/>
      <c r="H32" s="287"/>
      <c r="I32" s="287"/>
      <c r="J32" s="287"/>
      <c r="K32" s="287"/>
      <c r="L32" s="287"/>
      <c r="M32" s="287"/>
      <c r="N32" s="287"/>
      <c r="O32" s="287"/>
      <c r="P32" s="287"/>
      <c r="Q32" s="256">
        <v>27</v>
      </c>
    </row>
    <row r="33" spans="4:17" outlineLevel="1">
      <c r="F33" s="281" t="s">
        <v>194</v>
      </c>
      <c r="G33" s="281"/>
      <c r="H33" s="282" t="str">
        <f>IS_Hist_TO!B1</f>
        <v>Income Statement - Historical Outputs</v>
      </c>
      <c r="I33" s="282"/>
      <c r="J33" s="282"/>
      <c r="K33" s="282"/>
      <c r="L33" s="282"/>
      <c r="M33" s="282"/>
      <c r="N33" s="282"/>
      <c r="O33" s="282"/>
      <c r="P33" s="282"/>
      <c r="Q33" s="257">
        <v>28</v>
      </c>
    </row>
    <row r="34" spans="4:17" outlineLevel="1">
      <c r="F34" s="281" t="s">
        <v>195</v>
      </c>
      <c r="G34" s="281"/>
      <c r="H34" s="282" t="str">
        <f>BS_Hist_TO!B1</f>
        <v>Balance Sheet - Historical Outputs</v>
      </c>
      <c r="I34" s="282"/>
      <c r="J34" s="282"/>
      <c r="K34" s="282"/>
      <c r="L34" s="282"/>
      <c r="M34" s="282"/>
      <c r="N34" s="282"/>
      <c r="O34" s="282"/>
      <c r="P34" s="282"/>
      <c r="Q34" s="257">
        <v>29</v>
      </c>
    </row>
    <row r="35" spans="4:17" outlineLevel="1">
      <c r="F35" s="281" t="s">
        <v>196</v>
      </c>
      <c r="G35" s="281"/>
      <c r="H35" s="282" t="str">
        <f>CFS_Hist_TO!B1</f>
        <v>Cash Flow Statement - Historical Outputs</v>
      </c>
      <c r="I35" s="282"/>
      <c r="J35" s="282"/>
      <c r="K35" s="282"/>
      <c r="L35" s="282"/>
      <c r="M35" s="282"/>
      <c r="N35" s="282"/>
      <c r="O35" s="282"/>
      <c r="P35" s="282"/>
      <c r="Q35" s="257">
        <v>31</v>
      </c>
    </row>
    <row r="36" spans="4:17" ht="11.25">
      <c r="D36" s="283" t="s">
        <v>512</v>
      </c>
      <c r="E36" s="283"/>
      <c r="F36" s="287" t="str">
        <f>Fcast_OP_SSC!C9</f>
        <v>Forecast Outputs</v>
      </c>
      <c r="G36" s="287"/>
      <c r="H36" s="287"/>
      <c r="I36" s="287"/>
      <c r="J36" s="287"/>
      <c r="K36" s="287"/>
      <c r="L36" s="287"/>
      <c r="M36" s="287"/>
      <c r="N36" s="287"/>
      <c r="O36" s="287"/>
      <c r="P36" s="287"/>
      <c r="Q36" s="256">
        <v>33</v>
      </c>
    </row>
    <row r="37" spans="4:17" outlineLevel="1">
      <c r="F37" s="281" t="s">
        <v>194</v>
      </c>
      <c r="G37" s="281"/>
      <c r="H37" s="282" t="str">
        <f>Fcast_OP_TO!B1</f>
        <v>Forecast Outputs</v>
      </c>
      <c r="I37" s="282"/>
      <c r="J37" s="282"/>
      <c r="K37" s="282"/>
      <c r="L37" s="282"/>
      <c r="M37" s="282"/>
      <c r="N37" s="282"/>
      <c r="O37" s="282"/>
      <c r="P37" s="282"/>
      <c r="Q37" s="257">
        <v>34</v>
      </c>
    </row>
    <row r="38" spans="4:17" outlineLevel="1">
      <c r="H38" s="105" t="s">
        <v>202</v>
      </c>
      <c r="I38" s="284" t="str">
        <f>TOC_Hdg_21</f>
        <v>Operational - Outputs</v>
      </c>
      <c r="J38" s="284"/>
      <c r="K38" s="284"/>
      <c r="L38" s="284"/>
      <c r="M38" s="284"/>
      <c r="N38" s="284"/>
      <c r="O38" s="284"/>
      <c r="P38" s="284"/>
      <c r="Q38" s="105" t="s">
        <v>202</v>
      </c>
    </row>
    <row r="39" spans="4:17" outlineLevel="1">
      <c r="H39" s="105" t="s">
        <v>202</v>
      </c>
      <c r="I39" s="284" t="str">
        <f>TOC_Hdg_24</f>
        <v>Working Capital - Outputs</v>
      </c>
      <c r="J39" s="284"/>
      <c r="K39" s="284"/>
      <c r="L39" s="284"/>
      <c r="M39" s="284"/>
      <c r="N39" s="284"/>
      <c r="O39" s="284"/>
      <c r="P39" s="284"/>
      <c r="Q39" s="105" t="s">
        <v>202</v>
      </c>
    </row>
    <row r="40" spans="4:17" outlineLevel="1">
      <c r="H40" s="105" t="s">
        <v>202</v>
      </c>
      <c r="I40" s="284" t="str">
        <f>TOC_Hdg_17</f>
        <v>Assets - Outputs</v>
      </c>
      <c r="J40" s="284"/>
      <c r="K40" s="284"/>
      <c r="L40" s="284"/>
      <c r="M40" s="284"/>
      <c r="N40" s="284"/>
      <c r="O40" s="284"/>
      <c r="P40" s="284"/>
      <c r="Q40" s="105" t="s">
        <v>202</v>
      </c>
    </row>
    <row r="41" spans="4:17" outlineLevel="1">
      <c r="H41" s="105" t="s">
        <v>202</v>
      </c>
      <c r="I41" s="284" t="str">
        <f>TOC_Hdg_15</f>
        <v>Capital - Outputs</v>
      </c>
      <c r="J41" s="284"/>
      <c r="K41" s="284"/>
      <c r="L41" s="284"/>
      <c r="M41" s="284"/>
      <c r="N41" s="284"/>
      <c r="O41" s="284"/>
      <c r="P41" s="284"/>
      <c r="Q41" s="105" t="s">
        <v>202</v>
      </c>
    </row>
    <row r="42" spans="4:17" outlineLevel="1">
      <c r="H42" s="105" t="s">
        <v>202</v>
      </c>
      <c r="I42" s="284" t="str">
        <f>TOC_Hdg_32</f>
        <v>Taxation - Output Summary</v>
      </c>
      <c r="J42" s="284"/>
      <c r="K42" s="284"/>
      <c r="L42" s="284"/>
      <c r="M42" s="284"/>
      <c r="N42" s="284"/>
      <c r="O42" s="284"/>
      <c r="P42" s="284"/>
      <c r="Q42" s="105" t="s">
        <v>202</v>
      </c>
    </row>
    <row r="43" spans="4:17" outlineLevel="1">
      <c r="H43" s="105" t="s">
        <v>202</v>
      </c>
      <c r="I43" s="284" t="str">
        <f>TOC_Hdg_16</f>
        <v>Other Balance Sheet Items - Outputs</v>
      </c>
      <c r="J43" s="284"/>
      <c r="K43" s="284"/>
      <c r="L43" s="284"/>
      <c r="M43" s="284"/>
      <c r="N43" s="284"/>
      <c r="O43" s="284"/>
      <c r="P43" s="284"/>
      <c r="Q43" s="105" t="s">
        <v>202</v>
      </c>
    </row>
    <row r="44" spans="4:17" outlineLevel="1">
      <c r="F44" s="281" t="s">
        <v>195</v>
      </c>
      <c r="G44" s="281"/>
      <c r="H44" s="282" t="str">
        <f>IS_Fcast_TO!B1</f>
        <v>Income Statement - Forecast Outputs</v>
      </c>
      <c r="I44" s="282"/>
      <c r="J44" s="282"/>
      <c r="K44" s="282"/>
      <c r="L44" s="282"/>
      <c r="M44" s="282"/>
      <c r="N44" s="282"/>
      <c r="O44" s="282"/>
      <c r="P44" s="282"/>
      <c r="Q44" s="257">
        <v>41</v>
      </c>
    </row>
    <row r="45" spans="4:17" outlineLevel="1">
      <c r="F45" s="281" t="s">
        <v>196</v>
      </c>
      <c r="G45" s="281"/>
      <c r="H45" s="282" t="str">
        <f>BS_Fcast_TO!B1</f>
        <v>Balance Sheet - Forecast Outputs</v>
      </c>
      <c r="I45" s="282"/>
      <c r="J45" s="282"/>
      <c r="K45" s="282"/>
      <c r="L45" s="282"/>
      <c r="M45" s="282"/>
      <c r="N45" s="282"/>
      <c r="O45" s="282"/>
      <c r="P45" s="282"/>
      <c r="Q45" s="257">
        <v>42</v>
      </c>
    </row>
    <row r="46" spans="4:17" outlineLevel="1">
      <c r="F46" s="281" t="s">
        <v>551</v>
      </c>
      <c r="G46" s="281"/>
      <c r="H46" s="282" t="str">
        <f>CFS_Fcast_TO!B1</f>
        <v>Cash Flow Statement - Forecast Outputs</v>
      </c>
      <c r="I46" s="282"/>
      <c r="J46" s="282"/>
      <c r="K46" s="282"/>
      <c r="L46" s="282"/>
      <c r="M46" s="282"/>
      <c r="N46" s="282"/>
      <c r="O46" s="282"/>
      <c r="P46" s="282"/>
      <c r="Q46" s="257">
        <v>44</v>
      </c>
    </row>
    <row r="47" spans="4:17" ht="11.25">
      <c r="D47" s="283" t="s">
        <v>514</v>
      </c>
      <c r="E47" s="283"/>
      <c r="F47" s="287" t="str">
        <f>All_Pers_OP_SSC!C9</f>
        <v>All Periods Outputs</v>
      </c>
      <c r="G47" s="287"/>
      <c r="H47" s="287"/>
      <c r="I47" s="287"/>
      <c r="J47" s="287"/>
      <c r="K47" s="287"/>
      <c r="L47" s="287"/>
      <c r="M47" s="287"/>
      <c r="N47" s="287"/>
      <c r="O47" s="287"/>
      <c r="P47" s="287"/>
      <c r="Q47" s="256">
        <v>47</v>
      </c>
    </row>
    <row r="48" spans="4:17" outlineLevel="1">
      <c r="F48" s="281" t="s">
        <v>194</v>
      </c>
      <c r="G48" s="281"/>
      <c r="H48" s="282" t="str">
        <f>IS_All_TO!B1</f>
        <v>Income Statement - All Periods Outputs</v>
      </c>
      <c r="I48" s="282"/>
      <c r="J48" s="282"/>
      <c r="K48" s="282"/>
      <c r="L48" s="282"/>
      <c r="M48" s="282"/>
      <c r="N48" s="282"/>
      <c r="O48" s="282"/>
      <c r="P48" s="282"/>
      <c r="Q48" s="257">
        <v>48</v>
      </c>
    </row>
    <row r="49" spans="2:17" outlineLevel="1">
      <c r="F49" s="281" t="s">
        <v>195</v>
      </c>
      <c r="G49" s="281"/>
      <c r="H49" s="282" t="str">
        <f>BS_All_TO!B1</f>
        <v>Balance Sheet - All Periods Outputs</v>
      </c>
      <c r="I49" s="282"/>
      <c r="J49" s="282"/>
      <c r="K49" s="282"/>
      <c r="L49" s="282"/>
      <c r="M49" s="282"/>
      <c r="N49" s="282"/>
      <c r="O49" s="282"/>
      <c r="P49" s="282"/>
      <c r="Q49" s="257">
        <v>49</v>
      </c>
    </row>
    <row r="50" spans="2:17" outlineLevel="1">
      <c r="F50" s="281" t="s">
        <v>196</v>
      </c>
      <c r="G50" s="281"/>
      <c r="H50" s="282" t="str">
        <f>CFS_All_TO!B1</f>
        <v>Cash Flow Statement - All Periods Outputs</v>
      </c>
      <c r="I50" s="282"/>
      <c r="J50" s="282"/>
      <c r="K50" s="282"/>
      <c r="L50" s="282"/>
      <c r="M50" s="282"/>
      <c r="N50" s="282"/>
      <c r="O50" s="282"/>
      <c r="P50" s="282"/>
      <c r="Q50" s="257">
        <v>51</v>
      </c>
    </row>
    <row r="51" spans="2:17" ht="11.25">
      <c r="D51" s="283" t="s">
        <v>548</v>
      </c>
      <c r="E51" s="283"/>
      <c r="F51" s="287" t="str">
        <f>Dashboards_SSC!C9</f>
        <v>Dashboard Outputs</v>
      </c>
      <c r="G51" s="287"/>
      <c r="H51" s="287"/>
      <c r="I51" s="287"/>
      <c r="J51" s="287"/>
      <c r="K51" s="287"/>
      <c r="L51" s="287"/>
      <c r="M51" s="287"/>
      <c r="N51" s="287"/>
      <c r="O51" s="287"/>
      <c r="P51" s="287"/>
      <c r="Q51" s="256">
        <v>53</v>
      </c>
    </row>
    <row r="52" spans="2:17" outlineLevel="1">
      <c r="F52" s="281" t="s">
        <v>194</v>
      </c>
      <c r="G52" s="281"/>
      <c r="H52" s="282" t="str">
        <f>BS_Sum_P_MS!B1</f>
        <v>Business Planning Summary</v>
      </c>
      <c r="I52" s="282"/>
      <c r="J52" s="282"/>
      <c r="K52" s="282"/>
      <c r="L52" s="282"/>
      <c r="M52" s="282"/>
      <c r="N52" s="282"/>
      <c r="O52" s="282"/>
      <c r="P52" s="282"/>
      <c r="Q52" s="257">
        <v>54</v>
      </c>
    </row>
    <row r="53" spans="2:17" ht="19.149999999999999" customHeight="1">
      <c r="B53" s="285">
        <v>4</v>
      </c>
      <c r="C53" s="285"/>
      <c r="D53" s="286" t="str">
        <f>Appendices_SC!C9</f>
        <v>Appendices</v>
      </c>
      <c r="E53" s="286"/>
      <c r="F53" s="286"/>
      <c r="G53" s="286"/>
      <c r="H53" s="286"/>
      <c r="I53" s="286"/>
      <c r="J53" s="286"/>
      <c r="K53" s="286"/>
      <c r="L53" s="286"/>
      <c r="M53" s="286"/>
      <c r="N53" s="286"/>
      <c r="O53" s="286"/>
      <c r="P53" s="286"/>
      <c r="Q53" s="255">
        <v>55</v>
      </c>
    </row>
    <row r="54" spans="2:17" ht="11.25">
      <c r="D54" s="283" t="s">
        <v>516</v>
      </c>
      <c r="E54" s="283"/>
      <c r="F54" s="287" t="str">
        <f>Checks_SSC!C9</f>
        <v>Checks</v>
      </c>
      <c r="G54" s="287"/>
      <c r="H54" s="287"/>
      <c r="I54" s="287"/>
      <c r="J54" s="287"/>
      <c r="K54" s="287"/>
      <c r="L54" s="287"/>
      <c r="M54" s="287"/>
      <c r="N54" s="287"/>
      <c r="O54" s="287"/>
      <c r="P54" s="287"/>
      <c r="Q54" s="256">
        <v>56</v>
      </c>
    </row>
    <row r="55" spans="2:17" outlineLevel="1">
      <c r="F55" s="281" t="s">
        <v>194</v>
      </c>
      <c r="G55" s="281"/>
      <c r="H55" s="282" t="str">
        <f>Checks_BO!B1</f>
        <v>Checks</v>
      </c>
      <c r="I55" s="282"/>
      <c r="J55" s="282"/>
      <c r="K55" s="282"/>
      <c r="L55" s="282"/>
      <c r="M55" s="282"/>
      <c r="N55" s="282"/>
      <c r="O55" s="282"/>
      <c r="P55" s="282"/>
      <c r="Q55" s="257">
        <v>57</v>
      </c>
    </row>
    <row r="56" spans="2:17" outlineLevel="1">
      <c r="H56" s="105" t="s">
        <v>202</v>
      </c>
      <c r="I56" s="284" t="str">
        <f>TOC_Hdg_6</f>
        <v>Error Checks</v>
      </c>
      <c r="J56" s="284"/>
      <c r="K56" s="284"/>
      <c r="L56" s="284"/>
      <c r="M56" s="284"/>
      <c r="N56" s="284"/>
      <c r="O56" s="284"/>
      <c r="P56" s="284"/>
      <c r="Q56" s="105" t="s">
        <v>202</v>
      </c>
    </row>
    <row r="57" spans="2:17" outlineLevel="1">
      <c r="H57" s="105" t="s">
        <v>202</v>
      </c>
      <c r="I57" s="284" t="str">
        <f>TOC_Hdg_7</f>
        <v>Sensitivity Checks</v>
      </c>
      <c r="J57" s="284"/>
      <c r="K57" s="284"/>
      <c r="L57" s="284"/>
      <c r="M57" s="284"/>
      <c r="N57" s="284"/>
      <c r="O57" s="284"/>
      <c r="P57" s="284"/>
      <c r="Q57" s="105" t="s">
        <v>202</v>
      </c>
    </row>
    <row r="58" spans="2:17" outlineLevel="1">
      <c r="H58" s="105" t="s">
        <v>202</v>
      </c>
      <c r="I58" s="284" t="str">
        <f>TOC_Hdg_8</f>
        <v>Alert Checks</v>
      </c>
      <c r="J58" s="284"/>
      <c r="K58" s="284"/>
      <c r="L58" s="284"/>
      <c r="M58" s="284"/>
      <c r="N58" s="284"/>
      <c r="O58" s="284"/>
      <c r="P58" s="284"/>
      <c r="Q58" s="105" t="s">
        <v>202</v>
      </c>
    </row>
    <row r="59" spans="2:17" ht="11.25">
      <c r="D59" s="283" t="s">
        <v>518</v>
      </c>
      <c r="E59" s="283"/>
      <c r="F59" s="287" t="str">
        <f>LU_SSC!C9</f>
        <v>Lookup Tables</v>
      </c>
      <c r="G59" s="287"/>
      <c r="H59" s="287"/>
      <c r="I59" s="287"/>
      <c r="J59" s="287"/>
      <c r="K59" s="287"/>
      <c r="L59" s="287"/>
      <c r="M59" s="287"/>
      <c r="N59" s="287"/>
      <c r="O59" s="287"/>
      <c r="P59" s="287"/>
      <c r="Q59" s="256">
        <v>60</v>
      </c>
    </row>
    <row r="60" spans="2:17" outlineLevel="1">
      <c r="F60" s="281" t="s">
        <v>194</v>
      </c>
      <c r="G60" s="281"/>
      <c r="H60" s="282" t="str">
        <f>TS_LU!B1</f>
        <v>Time Series Lookup Tables</v>
      </c>
      <c r="I60" s="282"/>
      <c r="J60" s="282"/>
      <c r="K60" s="282"/>
      <c r="L60" s="282"/>
      <c r="M60" s="282"/>
      <c r="N60" s="282"/>
      <c r="O60" s="282"/>
      <c r="P60" s="282"/>
      <c r="Q60" s="257">
        <v>61</v>
      </c>
    </row>
    <row r="61" spans="2:17" outlineLevel="1">
      <c r="F61" s="281" t="s">
        <v>195</v>
      </c>
      <c r="G61" s="281"/>
      <c r="H61" s="282" t="str">
        <f>Capital_LU!B1</f>
        <v>Capital - Lookup Tables</v>
      </c>
      <c r="I61" s="282"/>
      <c r="J61" s="282"/>
      <c r="K61" s="282"/>
      <c r="L61" s="282"/>
      <c r="M61" s="282"/>
      <c r="N61" s="282"/>
      <c r="O61" s="282"/>
      <c r="P61" s="282"/>
      <c r="Q61" s="257">
        <v>64</v>
      </c>
    </row>
    <row r="62" spans="2:17" outlineLevel="1">
      <c r="F62" s="281" t="s">
        <v>196</v>
      </c>
      <c r="G62" s="281"/>
      <c r="H62" s="282" t="str">
        <f>Dashboards_LU!B1</f>
        <v>Dashboards - Lookup Tables</v>
      </c>
      <c r="I62" s="282"/>
      <c r="J62" s="282"/>
      <c r="K62" s="282"/>
      <c r="L62" s="282"/>
      <c r="M62" s="282"/>
      <c r="N62" s="282"/>
      <c r="O62" s="282"/>
      <c r="P62" s="282"/>
      <c r="Q62" s="257">
        <v>65</v>
      </c>
    </row>
    <row r="64" spans="2:17" ht="16.899999999999999" customHeight="1">
      <c r="B64" s="34" t="s">
        <v>570</v>
      </c>
      <c r="Q64" s="258">
        <v>65</v>
      </c>
    </row>
  </sheetData>
  <mergeCells count="93">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 ref="F22:G22"/>
    <mergeCell ref="H22:P22"/>
    <mergeCell ref="D17:E17"/>
    <mergeCell ref="F17:P17"/>
    <mergeCell ref="D19:E19"/>
    <mergeCell ref="F19:P19"/>
    <mergeCell ref="F20:G20"/>
    <mergeCell ref="H20:P20"/>
    <mergeCell ref="F18:G18"/>
    <mergeCell ref="H18:P18"/>
    <mergeCell ref="D23:E23"/>
    <mergeCell ref="F23:P23"/>
    <mergeCell ref="F24:G24"/>
    <mergeCell ref="H24:P24"/>
    <mergeCell ref="I28:P28"/>
    <mergeCell ref="I26:P26"/>
    <mergeCell ref="I27:P27"/>
    <mergeCell ref="I29:P29"/>
    <mergeCell ref="I30:P30"/>
    <mergeCell ref="B31:C31"/>
    <mergeCell ref="D31:P31"/>
    <mergeCell ref="D32:E32"/>
    <mergeCell ref="F32:P32"/>
    <mergeCell ref="D47:E47"/>
    <mergeCell ref="F33:G33"/>
    <mergeCell ref="H33:P33"/>
    <mergeCell ref="F34:G34"/>
    <mergeCell ref="H34:P34"/>
    <mergeCell ref="F35:G35"/>
    <mergeCell ref="H35:P35"/>
    <mergeCell ref="H46:P46"/>
    <mergeCell ref="F44:G44"/>
    <mergeCell ref="H44:P44"/>
    <mergeCell ref="F45:G45"/>
    <mergeCell ref="H45:P45"/>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I56:P56"/>
    <mergeCell ref="I57:P57"/>
    <mergeCell ref="I58:P58"/>
    <mergeCell ref="D59:E59"/>
    <mergeCell ref="F59:P59"/>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F10:G10"/>
    <mergeCell ref="H10:P10"/>
    <mergeCell ref="D11:E11"/>
    <mergeCell ref="I13:P13"/>
    <mergeCell ref="I14:P14"/>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295</v>
      </c>
    </row>
    <row r="10" spans="3:7" ht="16.5">
      <c r="C10" s="28" t="s">
        <v>191</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461</v>
      </c>
    </row>
    <row r="18" spans="3:3">
      <c r="C18" s="171" t="s">
        <v>285</v>
      </c>
    </row>
    <row r="19" spans="3:3">
      <c r="C19" s="171" t="s">
        <v>286</v>
      </c>
    </row>
    <row r="20" spans="3:3">
      <c r="C20" s="171" t="s">
        <v>296</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8" t="s">
        <v>192</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204</v>
      </c>
    </row>
    <row r="19" spans="3:3">
      <c r="C19" s="27" t="s">
        <v>297</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123"/>
  <sheetViews>
    <sheetView showGridLines="0" zoomScaleNormal="100" zoomScaleSheetLayoutView="70" workbookViewId="0">
      <pane xSplit="1" ySplit="4" topLeftCell="B5" activePane="bottomRight" state="frozen"/>
      <selection pane="topRight"/>
      <selection pane="bottomLeft"/>
      <selection pane="bottomRight"/>
    </sheetView>
  </sheetViews>
  <sheetFormatPr defaultRowHeight="10.5"/>
  <cols>
    <col min="1" max="5" width="3.83203125" customWidth="1"/>
    <col min="6" max="251" width="11.83203125" customWidth="1"/>
  </cols>
  <sheetData>
    <row r="1" spans="1:13" ht="18">
      <c r="B1" s="1" t="s">
        <v>406</v>
      </c>
    </row>
    <row r="2" spans="1:13" ht="15">
      <c r="B2" s="2" t="str">
        <f ca="1">Model_Name</f>
        <v>SMA 2. Workbook Structure - Best Practice Model Example</v>
      </c>
    </row>
    <row r="3" spans="1:13">
      <c r="B3" s="279" t="s">
        <v>48</v>
      </c>
      <c r="C3" s="279"/>
      <c r="D3" s="279"/>
      <c r="E3" s="279"/>
      <c r="F3" s="279"/>
    </row>
    <row r="4" spans="1:13" ht="12.75">
      <c r="A4" s="11" t="s">
        <v>51</v>
      </c>
      <c r="B4" s="12" t="s">
        <v>53</v>
      </c>
      <c r="C4" s="13" t="s">
        <v>102</v>
      </c>
      <c r="D4" s="272" t="s">
        <v>205</v>
      </c>
      <c r="E4" s="272" t="s">
        <v>206</v>
      </c>
      <c r="F4" s="14" t="s">
        <v>207</v>
      </c>
    </row>
    <row r="7" spans="1:13" s="16" customFormat="1" ht="12.75">
      <c r="C7" s="8" t="s">
        <v>208</v>
      </c>
      <c r="D7" s="18"/>
      <c r="E7" s="18"/>
      <c r="F7" s="18"/>
      <c r="G7" s="8" t="s">
        <v>203</v>
      </c>
      <c r="H7" s="18"/>
      <c r="I7" s="18"/>
      <c r="J7" s="18"/>
      <c r="K7" s="18"/>
      <c r="L7" s="18"/>
      <c r="M7" s="18"/>
    </row>
    <row r="8" spans="1:13" s="16" customFormat="1" ht="5.0999999999999996" customHeight="1"/>
    <row r="9" spans="1:13" s="16" customFormat="1" ht="11.25" customHeight="1">
      <c r="C9" s="291" t="s">
        <v>209</v>
      </c>
      <c r="D9" s="291"/>
      <c r="E9" s="291"/>
      <c r="F9" s="291"/>
      <c r="G9" s="289" t="s">
        <v>591</v>
      </c>
      <c r="H9" s="289"/>
      <c r="I9" s="289"/>
      <c r="J9" s="289"/>
      <c r="K9" s="289"/>
      <c r="L9" s="289"/>
      <c r="M9" s="289"/>
    </row>
    <row r="10" spans="1:13" s="16" customFormat="1" ht="11.25" customHeight="1">
      <c r="C10" s="291"/>
      <c r="D10" s="291"/>
      <c r="E10" s="291"/>
      <c r="F10" s="291"/>
      <c r="G10" s="289"/>
      <c r="H10" s="289"/>
      <c r="I10" s="289"/>
      <c r="J10" s="289"/>
      <c r="K10" s="289"/>
      <c r="L10" s="289"/>
      <c r="M10" s="289"/>
    </row>
    <row r="11" spans="1:13" s="16" customFormat="1">
      <c r="C11" s="290"/>
      <c r="D11" s="290"/>
      <c r="E11" s="290"/>
      <c r="F11" s="290"/>
      <c r="G11" s="289"/>
      <c r="H11" s="289"/>
      <c r="I11" s="289"/>
      <c r="J11" s="289"/>
      <c r="K11" s="289"/>
      <c r="L11" s="289"/>
      <c r="M11" s="289"/>
    </row>
    <row r="12" spans="1:13" s="16" customFormat="1" ht="5.0999999999999996" customHeight="1">
      <c r="C12" s="290"/>
      <c r="D12" s="290"/>
      <c r="E12" s="290"/>
      <c r="F12" s="290"/>
      <c r="G12" s="184"/>
      <c r="H12" s="184"/>
      <c r="I12" s="184"/>
      <c r="J12" s="184"/>
      <c r="K12" s="184"/>
      <c r="L12" s="184"/>
      <c r="M12" s="184"/>
    </row>
    <row r="13" spans="1:13" s="16" customFormat="1" ht="11.25" customHeight="1">
      <c r="C13" s="291" t="s">
        <v>210</v>
      </c>
      <c r="D13" s="291"/>
      <c r="E13" s="291"/>
      <c r="F13" s="291"/>
      <c r="G13" s="289" t="s">
        <v>211</v>
      </c>
      <c r="H13" s="289"/>
      <c r="I13" s="289"/>
      <c r="J13" s="289"/>
      <c r="K13" s="289"/>
      <c r="L13" s="289"/>
      <c r="M13" s="289"/>
    </row>
    <row r="14" spans="1:13" s="16" customFormat="1" ht="5.0999999999999996" customHeight="1">
      <c r="C14" s="290"/>
      <c r="D14" s="290"/>
      <c r="E14" s="290"/>
      <c r="F14" s="290"/>
      <c r="G14" s="268"/>
      <c r="H14" s="268"/>
      <c r="I14" s="268"/>
      <c r="J14" s="268"/>
      <c r="K14" s="268"/>
      <c r="L14" s="268"/>
      <c r="M14" s="268"/>
    </row>
    <row r="15" spans="1:13" s="16" customFormat="1">
      <c r="C15" s="290"/>
      <c r="D15" s="290"/>
      <c r="E15" s="290"/>
      <c r="F15" s="290"/>
      <c r="G15" s="288" t="s">
        <v>592</v>
      </c>
      <c r="H15" s="288"/>
      <c r="I15" s="288"/>
      <c r="J15" s="288"/>
      <c r="K15" s="288"/>
      <c r="L15" s="288"/>
      <c r="M15" s="288"/>
    </row>
    <row r="16" spans="1:13" s="16" customFormat="1">
      <c r="C16" s="290"/>
      <c r="D16" s="290"/>
      <c r="E16" s="290"/>
      <c r="F16" s="290"/>
      <c r="G16" s="288" t="s">
        <v>520</v>
      </c>
      <c r="H16" s="288"/>
      <c r="I16" s="288"/>
      <c r="J16" s="288"/>
      <c r="K16" s="288"/>
      <c r="L16" s="288"/>
      <c r="M16" s="288"/>
    </row>
    <row r="17" spans="3:13" s="16" customFormat="1">
      <c r="C17" s="290"/>
      <c r="D17" s="290"/>
      <c r="E17" s="290"/>
      <c r="F17" s="290"/>
      <c r="G17" s="288" t="s">
        <v>521</v>
      </c>
      <c r="H17" s="288"/>
      <c r="I17" s="288"/>
      <c r="J17" s="288"/>
      <c r="K17" s="288"/>
      <c r="L17" s="288"/>
      <c r="M17" s="288"/>
    </row>
    <row r="18" spans="3:13" s="16" customFormat="1" ht="5.0999999999999996" customHeight="1">
      <c r="C18" s="290"/>
      <c r="D18" s="290"/>
      <c r="E18" s="290"/>
      <c r="F18" s="290"/>
      <c r="G18" s="184"/>
      <c r="H18" s="184"/>
      <c r="I18" s="184"/>
      <c r="J18" s="184"/>
      <c r="K18" s="184"/>
      <c r="L18" s="184"/>
      <c r="M18" s="184"/>
    </row>
    <row r="19" spans="3:13" s="16" customFormat="1" ht="11.25" customHeight="1">
      <c r="C19" s="291" t="s">
        <v>212</v>
      </c>
      <c r="D19" s="291"/>
      <c r="E19" s="291"/>
      <c r="F19" s="291"/>
      <c r="G19" s="289" t="s">
        <v>519</v>
      </c>
      <c r="H19" s="289"/>
      <c r="I19" s="289"/>
      <c r="J19" s="289"/>
      <c r="K19" s="289"/>
      <c r="L19" s="289"/>
      <c r="M19" s="289"/>
    </row>
    <row r="20" spans="3:13" s="16" customFormat="1" ht="5.0999999999999996" customHeight="1">
      <c r="C20" s="290"/>
      <c r="D20" s="290"/>
      <c r="E20" s="290"/>
      <c r="F20" s="290"/>
      <c r="G20" s="184"/>
      <c r="H20" s="184"/>
      <c r="I20" s="184"/>
      <c r="J20" s="184"/>
      <c r="K20" s="184"/>
      <c r="L20" s="184"/>
      <c r="M20" s="184"/>
    </row>
    <row r="21" spans="3:13" s="16" customFormat="1" ht="11.25" customHeight="1">
      <c r="C21" s="291" t="s">
        <v>213</v>
      </c>
      <c r="D21" s="291"/>
      <c r="E21" s="291"/>
      <c r="F21" s="291"/>
      <c r="G21" s="289" t="s">
        <v>593</v>
      </c>
      <c r="H21" s="289"/>
      <c r="I21" s="289"/>
      <c r="J21" s="289"/>
      <c r="K21" s="289"/>
      <c r="L21" s="289"/>
      <c r="M21" s="289"/>
    </row>
    <row r="22" spans="3:13" s="16" customFormat="1" ht="5.0999999999999996" customHeight="1">
      <c r="C22" s="292"/>
      <c r="D22" s="292"/>
      <c r="E22" s="292"/>
      <c r="F22" s="292"/>
      <c r="G22" s="184"/>
      <c r="H22" s="184"/>
      <c r="I22" s="184"/>
      <c r="J22" s="184"/>
      <c r="K22" s="184"/>
      <c r="L22" s="184"/>
      <c r="M22" s="184"/>
    </row>
    <row r="23" spans="3:13" s="16" customFormat="1" ht="11.25" customHeight="1">
      <c r="C23" s="291" t="s">
        <v>289</v>
      </c>
      <c r="D23" s="291"/>
      <c r="E23" s="291"/>
      <c r="F23" s="291"/>
      <c r="G23" s="289" t="s">
        <v>594</v>
      </c>
      <c r="H23" s="289"/>
      <c r="I23" s="289"/>
      <c r="J23" s="289"/>
      <c r="K23" s="289"/>
      <c r="L23" s="289"/>
      <c r="M23" s="289"/>
    </row>
    <row r="24" spans="3:13" s="16" customFormat="1">
      <c r="C24" s="290"/>
      <c r="D24" s="290"/>
      <c r="E24" s="290"/>
      <c r="F24" s="290"/>
      <c r="G24" s="289"/>
      <c r="H24" s="289"/>
      <c r="I24" s="289"/>
      <c r="J24" s="289"/>
      <c r="K24" s="289"/>
      <c r="L24" s="289"/>
      <c r="M24" s="289"/>
    </row>
    <row r="25" spans="3:13" s="16" customFormat="1" ht="5.0999999999999996" customHeight="1">
      <c r="C25" s="292"/>
      <c r="D25" s="292"/>
      <c r="E25" s="292"/>
      <c r="F25" s="292"/>
      <c r="G25" s="184"/>
      <c r="H25" s="184"/>
      <c r="I25" s="184"/>
      <c r="J25" s="184"/>
      <c r="K25" s="184"/>
      <c r="L25" s="184"/>
      <c r="M25" s="184"/>
    </row>
    <row r="26" spans="3:13" s="16" customFormat="1" ht="11.25" customHeight="1">
      <c r="C26" s="291" t="s">
        <v>214</v>
      </c>
      <c r="D26" s="291"/>
      <c r="E26" s="291"/>
      <c r="F26" s="291"/>
      <c r="G26" s="289" t="s">
        <v>290</v>
      </c>
      <c r="H26" s="289"/>
      <c r="I26" s="289"/>
      <c r="J26" s="289"/>
      <c r="K26" s="289"/>
      <c r="L26" s="289"/>
      <c r="M26" s="289"/>
    </row>
    <row r="27" spans="3:13" s="16" customFormat="1" ht="11.25" customHeight="1">
      <c r="C27" s="291"/>
      <c r="D27" s="291"/>
      <c r="E27" s="291"/>
      <c r="F27" s="291"/>
      <c r="G27" s="289"/>
      <c r="H27" s="289"/>
      <c r="I27" s="289"/>
      <c r="J27" s="289"/>
      <c r="K27" s="289"/>
      <c r="L27" s="289"/>
      <c r="M27" s="289"/>
    </row>
    <row r="28" spans="3:13" s="16" customFormat="1" ht="11.25" customHeight="1">
      <c r="C28" s="291"/>
      <c r="D28" s="291"/>
      <c r="E28" s="291"/>
      <c r="F28" s="291"/>
      <c r="G28" s="289"/>
      <c r="H28" s="289"/>
      <c r="I28" s="289"/>
      <c r="J28" s="289"/>
      <c r="K28" s="289"/>
      <c r="L28" s="289"/>
      <c r="M28" s="289"/>
    </row>
    <row r="29" spans="3:13" s="16" customFormat="1" ht="11.25" customHeight="1">
      <c r="C29" s="295"/>
      <c r="D29" s="295"/>
      <c r="E29" s="295"/>
      <c r="F29" s="295"/>
      <c r="G29" s="289"/>
      <c r="H29" s="289"/>
      <c r="I29" s="289"/>
      <c r="J29" s="289"/>
      <c r="K29" s="289"/>
      <c r="L29" s="289"/>
      <c r="M29" s="289"/>
    </row>
    <row r="30" spans="3:13" s="16" customFormat="1" ht="5.0999999999999996" customHeight="1">
      <c r="C30" s="290"/>
      <c r="D30" s="290"/>
      <c r="E30" s="290"/>
      <c r="F30" s="290"/>
      <c r="G30" s="268"/>
      <c r="H30" s="268"/>
      <c r="I30" s="268"/>
      <c r="J30" s="268"/>
      <c r="K30" s="268"/>
      <c r="L30" s="268"/>
      <c r="M30" s="268"/>
    </row>
    <row r="31" spans="3:13" s="16" customFormat="1">
      <c r="C31" s="291" t="s">
        <v>215</v>
      </c>
      <c r="D31" s="291"/>
      <c r="E31" s="291"/>
      <c r="F31" s="291"/>
      <c r="G31" s="293" t="s">
        <v>216</v>
      </c>
      <c r="H31" s="293"/>
      <c r="I31" s="294" t="s">
        <v>46</v>
      </c>
      <c r="J31" s="294"/>
      <c r="K31" s="294"/>
      <c r="L31" s="294"/>
      <c r="M31" s="294"/>
    </row>
    <row r="32" spans="3:13" s="16" customFormat="1">
      <c r="C32" s="290"/>
      <c r="D32" s="290"/>
      <c r="E32" s="290"/>
      <c r="F32" s="290"/>
      <c r="G32" s="293" t="s">
        <v>217</v>
      </c>
      <c r="H32" s="293"/>
      <c r="I32" s="294" t="s">
        <v>588</v>
      </c>
      <c r="J32" s="294"/>
      <c r="K32" s="294"/>
      <c r="L32" s="294"/>
      <c r="M32" s="294"/>
    </row>
    <row r="33" spans="3:13" s="16" customFormat="1" ht="5.0999999999999996" customHeight="1">
      <c r="C33" s="290"/>
      <c r="D33" s="290"/>
      <c r="E33" s="290"/>
      <c r="F33" s="290"/>
      <c r="G33" s="268"/>
      <c r="H33" s="268"/>
      <c r="I33" s="268"/>
      <c r="J33" s="268"/>
      <c r="K33" s="268"/>
      <c r="L33" s="268"/>
      <c r="M33" s="268"/>
    </row>
    <row r="34" spans="3:13" s="16" customFormat="1">
      <c r="C34" s="290"/>
      <c r="D34" s="290"/>
      <c r="E34" s="290"/>
      <c r="F34" s="290"/>
      <c r="G34" s="293" t="s">
        <v>291</v>
      </c>
      <c r="H34" s="293"/>
      <c r="I34" s="293"/>
      <c r="J34" s="293"/>
      <c r="K34" s="293"/>
      <c r="L34" s="293"/>
      <c r="M34" s="293"/>
    </row>
    <row r="35" spans="3:13" s="16" customFormat="1" ht="5.0999999999999996" customHeight="1">
      <c r="C35" s="290"/>
      <c r="D35" s="290"/>
      <c r="E35" s="290"/>
      <c r="F35" s="290"/>
      <c r="G35" s="268"/>
      <c r="H35" s="268"/>
      <c r="I35" s="268"/>
      <c r="J35" s="268"/>
      <c r="K35" s="268"/>
      <c r="L35" s="268"/>
      <c r="M35" s="268"/>
    </row>
    <row r="36" spans="3:13" s="16" customFormat="1">
      <c r="C36" s="290"/>
      <c r="D36" s="290"/>
      <c r="E36" s="290"/>
      <c r="F36" s="290"/>
      <c r="G36" s="293" t="s">
        <v>218</v>
      </c>
      <c r="H36" s="293"/>
      <c r="I36" s="294" t="s">
        <v>595</v>
      </c>
      <c r="J36" s="294"/>
      <c r="K36" s="294"/>
      <c r="L36" s="294"/>
      <c r="M36" s="294"/>
    </row>
    <row r="37" spans="3:13" s="16" customFormat="1" ht="5.0999999999999996" customHeight="1">
      <c r="C37" s="18"/>
      <c r="D37" s="18"/>
      <c r="E37" s="18"/>
      <c r="F37" s="18"/>
      <c r="G37" s="18"/>
      <c r="H37" s="18"/>
      <c r="I37" s="18"/>
      <c r="J37" s="18"/>
      <c r="K37" s="18"/>
      <c r="L37" s="18"/>
      <c r="M37" s="18"/>
    </row>
    <row r="38" spans="3:13" s="16" customFormat="1"/>
    <row r="39" spans="3:13" s="16" customFormat="1"/>
    <row r="40" spans="3:13" s="16" customFormat="1"/>
    <row r="41" spans="3:13" s="16" customFormat="1"/>
    <row r="42" spans="3:13" s="16" customFormat="1"/>
    <row r="43" spans="3:13" s="16" customFormat="1"/>
    <row r="44" spans="3:13" s="16" customFormat="1"/>
    <row r="45" spans="3:13" s="16" customFormat="1"/>
    <row r="46" spans="3:13" s="16" customFormat="1"/>
    <row r="47" spans="3:13" s="16" customFormat="1"/>
    <row r="48" spans="3:13"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sheetData>
  <mergeCells count="45">
    <mergeCell ref="G23:M24"/>
    <mergeCell ref="G26:M29"/>
    <mergeCell ref="C36:F36"/>
    <mergeCell ref="G31:H31"/>
    <mergeCell ref="I31:M31"/>
    <mergeCell ref="G32:H32"/>
    <mergeCell ref="I32:M32"/>
    <mergeCell ref="G34:M34"/>
    <mergeCell ref="G36:H36"/>
    <mergeCell ref="I36:M36"/>
    <mergeCell ref="C27:F27"/>
    <mergeCell ref="C28:F28"/>
    <mergeCell ref="C29:F29"/>
    <mergeCell ref="C30:F30"/>
    <mergeCell ref="C31:F31"/>
    <mergeCell ref="C32:F32"/>
    <mergeCell ref="C33:F33"/>
    <mergeCell ref="C34:F34"/>
    <mergeCell ref="C35:F35"/>
    <mergeCell ref="C22:F22"/>
    <mergeCell ref="C23:F23"/>
    <mergeCell ref="C24:F24"/>
    <mergeCell ref="C25:F25"/>
    <mergeCell ref="C26:F26"/>
    <mergeCell ref="C20:F20"/>
    <mergeCell ref="C21:F21"/>
    <mergeCell ref="G19:M19"/>
    <mergeCell ref="C9:F9"/>
    <mergeCell ref="C10:F10"/>
    <mergeCell ref="C11:F11"/>
    <mergeCell ref="C12:F12"/>
    <mergeCell ref="C13:F13"/>
    <mergeCell ref="C14:F14"/>
    <mergeCell ref="C15:F15"/>
    <mergeCell ref="C16:F16"/>
    <mergeCell ref="C17:F17"/>
    <mergeCell ref="C18:F18"/>
    <mergeCell ref="G21:M21"/>
    <mergeCell ref="C19:F19"/>
    <mergeCell ref="G15:M15"/>
    <mergeCell ref="G16:M16"/>
    <mergeCell ref="G17:M17"/>
    <mergeCell ref="B3:F3"/>
    <mergeCell ref="G9:M11"/>
    <mergeCell ref="G13:M13"/>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HF r:id="rId6"/>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300</v>
      </c>
    </row>
    <row r="10" spans="3:7" ht="16.5">
      <c r="C10" s="28" t="s">
        <v>197</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287</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41">
    <pageSetUpPr autoPageBreaks="0"/>
  </sheetPr>
  <dimension ref="A1:N137"/>
  <sheetViews>
    <sheetView showGridLines="0" zoomScaleNormal="100" workbookViewId="0">
      <pane xSplit="1" ySplit="4" topLeftCell="B5" activePane="bottomRight" state="frozen"/>
      <selection pane="topRight"/>
      <selection pane="bottomLeft"/>
      <selection pane="bottomRight"/>
    </sheetView>
  </sheetViews>
  <sheetFormatPr defaultColWidth="11.83203125" defaultRowHeight="10.5"/>
  <cols>
    <col min="1" max="5" width="3.83203125" customWidth="1"/>
  </cols>
  <sheetData>
    <row r="1" spans="1:14" ht="18">
      <c r="B1" s="1" t="s">
        <v>300</v>
      </c>
    </row>
    <row r="2" spans="1:14" ht="15">
      <c r="B2" s="2" t="str">
        <f ca="1">Model_Name</f>
        <v>SMA 2. Workbook Structure - Best Practice Model Example</v>
      </c>
    </row>
    <row r="3" spans="1:14">
      <c r="B3" s="279" t="s">
        <v>48</v>
      </c>
      <c r="C3" s="279"/>
      <c r="D3" s="279"/>
      <c r="E3" s="279"/>
      <c r="F3" s="279"/>
    </row>
    <row r="4" spans="1:14" ht="12.75">
      <c r="A4" s="11" t="s">
        <v>51</v>
      </c>
      <c r="B4" s="12" t="s">
        <v>53</v>
      </c>
      <c r="C4" s="13" t="s">
        <v>102</v>
      </c>
      <c r="D4" s="272" t="s">
        <v>205</v>
      </c>
      <c r="E4" s="272" t="s">
        <v>206</v>
      </c>
      <c r="F4" s="14" t="s">
        <v>207</v>
      </c>
    </row>
    <row r="5" spans="1:14" s="16" customFormat="1" ht="12.75">
      <c r="B5" s="12"/>
      <c r="C5" s="13"/>
      <c r="D5" s="270"/>
      <c r="E5" s="270"/>
      <c r="F5" s="14"/>
    </row>
    <row r="6" spans="1:14" s="16" customFormat="1" ht="12.75">
      <c r="A6" s="11"/>
      <c r="B6" s="12"/>
      <c r="C6" s="13"/>
      <c r="D6" s="270"/>
      <c r="E6" s="270"/>
      <c r="F6" s="14"/>
    </row>
    <row r="7" spans="1:14" s="16" customFormat="1" ht="12.75">
      <c r="A7" s="11"/>
      <c r="B7" s="33" t="s">
        <v>105</v>
      </c>
      <c r="C7" s="13"/>
      <c r="D7" s="270"/>
      <c r="E7" s="270"/>
      <c r="F7" s="14"/>
    </row>
    <row r="8" spans="1:14" s="16" customFormat="1" ht="12.75">
      <c r="A8" s="11"/>
      <c r="B8" s="12"/>
      <c r="C8" s="13"/>
      <c r="D8" s="270"/>
      <c r="E8" s="270"/>
      <c r="F8" s="14"/>
    </row>
    <row r="9" spans="1:14" s="16" customFormat="1" ht="12.75">
      <c r="A9" s="11"/>
      <c r="B9" s="12"/>
      <c r="C9" s="273"/>
      <c r="D9" s="35" t="s">
        <v>106</v>
      </c>
      <c r="E9" s="274"/>
      <c r="F9" s="275"/>
      <c r="G9" s="18"/>
      <c r="H9" s="35" t="s">
        <v>107</v>
      </c>
      <c r="I9" s="18"/>
      <c r="J9" s="18"/>
      <c r="K9" s="18"/>
      <c r="L9" s="18"/>
      <c r="M9" s="301" t="s">
        <v>108</v>
      </c>
      <c r="N9" s="301"/>
    </row>
    <row r="10" spans="1:14" s="16" customFormat="1" ht="5.0999999999999996" customHeight="1">
      <c r="A10" s="11"/>
      <c r="B10" s="12"/>
      <c r="C10" s="13"/>
      <c r="D10" s="270"/>
      <c r="E10" s="270"/>
      <c r="F10" s="14"/>
    </row>
    <row r="11" spans="1:14" s="16" customFormat="1" ht="12.75">
      <c r="A11" s="11"/>
      <c r="B11" s="12"/>
      <c r="C11" s="13"/>
      <c r="D11" s="26" t="s">
        <v>301</v>
      </c>
      <c r="E11" s="270"/>
      <c r="F11" s="14"/>
    </row>
    <row r="12" spans="1:14" s="16" customFormat="1" ht="5.0999999999999996" customHeight="1">
      <c r="A12" s="11"/>
      <c r="B12" s="12"/>
      <c r="C12" s="13"/>
      <c r="D12" s="270"/>
      <c r="E12" s="270"/>
      <c r="F12" s="14"/>
    </row>
    <row r="13" spans="1:14" s="16" customFormat="1" ht="12.75">
      <c r="A13" s="11"/>
      <c r="B13" s="12"/>
      <c r="C13" s="13"/>
      <c r="D13" s="296" t="s">
        <v>573</v>
      </c>
      <c r="E13" s="296"/>
      <c r="F13" s="296"/>
      <c r="G13" s="296"/>
      <c r="H13" s="296" t="s">
        <v>574</v>
      </c>
      <c r="I13" s="296"/>
      <c r="J13" s="296"/>
      <c r="K13" s="296"/>
      <c r="L13" s="296"/>
      <c r="M13" s="309" t="s">
        <v>573</v>
      </c>
      <c r="N13" s="309"/>
    </row>
    <row r="14" spans="1:14" s="16" customFormat="1" ht="5.0999999999999996" customHeight="1">
      <c r="A14" s="11"/>
      <c r="B14" s="12"/>
      <c r="C14" s="13"/>
      <c r="D14" s="270"/>
      <c r="E14" s="270"/>
      <c r="F14" s="14"/>
    </row>
    <row r="15" spans="1:14" s="16" customFormat="1" ht="12.75">
      <c r="A15" s="11"/>
      <c r="B15" s="12"/>
      <c r="C15" s="13"/>
      <c r="D15" s="296" t="s">
        <v>575</v>
      </c>
      <c r="E15" s="296"/>
      <c r="F15" s="296"/>
      <c r="G15" s="296"/>
      <c r="H15" s="296" t="s">
        <v>576</v>
      </c>
      <c r="I15" s="296"/>
      <c r="J15" s="296"/>
      <c r="K15" s="296"/>
      <c r="L15" s="296"/>
      <c r="M15" s="307" t="s">
        <v>575</v>
      </c>
      <c r="N15" s="307"/>
    </row>
    <row r="16" spans="1:14" s="16" customFormat="1" ht="5.0999999999999996" customHeight="1">
      <c r="A16" s="11"/>
      <c r="B16" s="12"/>
      <c r="C16" s="13"/>
      <c r="D16" s="270"/>
      <c r="E16" s="270"/>
      <c r="F16" s="14"/>
    </row>
    <row r="17" spans="1:14" s="16" customFormat="1" ht="12.75">
      <c r="A17" s="11"/>
      <c r="B17" s="12"/>
      <c r="C17" s="13"/>
      <c r="D17" s="296" t="s">
        <v>577</v>
      </c>
      <c r="E17" s="296"/>
      <c r="F17" s="296"/>
      <c r="G17" s="296"/>
      <c r="H17" s="296" t="s">
        <v>578</v>
      </c>
      <c r="I17" s="296"/>
      <c r="J17" s="296"/>
      <c r="K17" s="296"/>
      <c r="L17" s="296"/>
      <c r="M17" s="308" t="s">
        <v>577</v>
      </c>
      <c r="N17" s="308"/>
    </row>
    <row r="18" spans="1:14" s="16" customFormat="1" ht="12.75">
      <c r="A18" s="11"/>
      <c r="B18" s="12"/>
      <c r="C18" s="13"/>
      <c r="D18" s="296"/>
      <c r="E18" s="296"/>
      <c r="F18" s="296"/>
      <c r="G18" s="296"/>
      <c r="H18" s="296"/>
      <c r="I18" s="296"/>
      <c r="J18" s="296"/>
      <c r="K18" s="296"/>
      <c r="L18" s="296"/>
    </row>
    <row r="19" spans="1:14" s="16" customFormat="1" ht="5.0999999999999996" customHeight="1">
      <c r="A19" s="11"/>
      <c r="B19" s="12"/>
      <c r="C19" s="13"/>
      <c r="D19" s="270"/>
      <c r="E19" s="270"/>
      <c r="F19" s="14"/>
    </row>
    <row r="20" spans="1:14" s="16" customFormat="1" ht="12.75">
      <c r="A20" s="11"/>
      <c r="B20" s="12"/>
      <c r="C20" s="13"/>
      <c r="D20" s="296" t="s">
        <v>227</v>
      </c>
      <c r="E20" s="296"/>
      <c r="F20" s="296"/>
      <c r="G20" s="296"/>
      <c r="H20" s="296" t="s">
        <v>579</v>
      </c>
      <c r="I20" s="296"/>
      <c r="J20" s="296"/>
      <c r="K20" s="296"/>
      <c r="L20" s="296"/>
      <c r="M20" s="306" t="s">
        <v>227</v>
      </c>
      <c r="N20" s="306"/>
    </row>
    <row r="21" spans="1:14" s="16" customFormat="1" ht="5.0999999999999996" customHeight="1">
      <c r="A21" s="11"/>
      <c r="B21" s="12"/>
      <c r="C21" s="13"/>
      <c r="D21" s="270"/>
      <c r="E21" s="270"/>
      <c r="F21" s="14"/>
    </row>
    <row r="22" spans="1:14" s="16" customFormat="1" ht="5.0999999999999996" customHeight="1">
      <c r="A22" s="11"/>
      <c r="B22" s="12"/>
      <c r="C22" s="13"/>
      <c r="D22" s="270"/>
      <c r="E22" s="270"/>
      <c r="F22" s="14"/>
    </row>
    <row r="23" spans="1:14" s="16" customFormat="1" ht="12.75">
      <c r="A23" s="11"/>
      <c r="B23" s="12"/>
      <c r="C23" s="13"/>
      <c r="D23" s="296" t="s">
        <v>109</v>
      </c>
      <c r="E23" s="296"/>
      <c r="F23" s="296"/>
      <c r="G23" s="296"/>
      <c r="H23" s="296" t="s">
        <v>580</v>
      </c>
      <c r="I23" s="296"/>
      <c r="J23" s="296"/>
      <c r="K23" s="296"/>
      <c r="L23" s="296"/>
      <c r="M23" s="298" t="s">
        <v>109</v>
      </c>
      <c r="N23" s="298"/>
    </row>
    <row r="24" spans="1:14" s="16" customFormat="1" ht="12.75">
      <c r="A24" s="11"/>
      <c r="B24" s="12"/>
      <c r="C24" s="13"/>
      <c r="D24" s="296"/>
      <c r="E24" s="296"/>
      <c r="F24" s="296"/>
      <c r="G24" s="296"/>
      <c r="H24" s="296"/>
      <c r="I24" s="296"/>
      <c r="J24" s="296"/>
      <c r="K24" s="296"/>
      <c r="L24" s="296"/>
    </row>
    <row r="25" spans="1:14" s="16" customFormat="1" ht="5.0999999999999996" customHeight="1">
      <c r="A25" s="11"/>
      <c r="B25" s="12"/>
      <c r="C25" s="13"/>
      <c r="D25" s="270"/>
      <c r="E25" s="270"/>
      <c r="F25" s="14"/>
    </row>
    <row r="26" spans="1:14" s="16" customFormat="1" ht="12.75">
      <c r="A26" s="11"/>
      <c r="B26" s="12"/>
      <c r="C26" s="13"/>
      <c r="D26" s="26" t="s">
        <v>302</v>
      </c>
      <c r="E26" s="270"/>
      <c r="F26" s="14"/>
    </row>
    <row r="27" spans="1:14" s="16" customFormat="1" ht="5.0999999999999996" customHeight="1">
      <c r="A27" s="11"/>
      <c r="B27" s="12"/>
      <c r="C27" s="13"/>
      <c r="D27" s="270"/>
      <c r="E27" s="270"/>
      <c r="F27" s="14"/>
    </row>
    <row r="28" spans="1:14" s="16" customFormat="1" ht="12.75">
      <c r="A28" s="11"/>
      <c r="B28" s="12"/>
      <c r="C28" s="13"/>
      <c r="D28" s="296" t="s">
        <v>581</v>
      </c>
      <c r="E28" s="296"/>
      <c r="F28" s="296"/>
      <c r="G28" s="296"/>
      <c r="H28" s="296" t="s">
        <v>582</v>
      </c>
      <c r="I28" s="296"/>
      <c r="J28" s="296"/>
      <c r="K28" s="296"/>
      <c r="L28" s="296"/>
      <c r="M28" s="302"/>
      <c r="N28" s="303"/>
    </row>
    <row r="29" spans="1:14" s="16" customFormat="1" ht="5.0999999999999996" customHeight="1">
      <c r="A29" s="11"/>
      <c r="B29" s="12"/>
      <c r="C29" s="13"/>
      <c r="D29" s="270"/>
      <c r="E29" s="270"/>
      <c r="F29" s="14"/>
    </row>
    <row r="30" spans="1:14" s="16" customFormat="1" ht="12.75">
      <c r="A30" s="11"/>
      <c r="B30" s="12"/>
      <c r="C30" s="13"/>
      <c r="D30" s="296" t="s">
        <v>583</v>
      </c>
      <c r="E30" s="296"/>
      <c r="F30" s="296"/>
      <c r="G30" s="296"/>
      <c r="H30" s="296" t="s">
        <v>584</v>
      </c>
      <c r="I30" s="296"/>
      <c r="J30" s="296"/>
      <c r="K30" s="296"/>
      <c r="L30" s="296"/>
      <c r="M30" s="304"/>
      <c r="N30" s="305"/>
    </row>
    <row r="31" spans="1:14" s="16" customFormat="1" ht="12.75">
      <c r="A31" s="11"/>
      <c r="B31" s="12"/>
      <c r="C31" s="13"/>
      <c r="D31" s="296"/>
      <c r="E31" s="296"/>
      <c r="F31" s="296"/>
      <c r="G31" s="296"/>
      <c r="H31" s="296"/>
      <c r="I31" s="296"/>
      <c r="J31" s="296"/>
      <c r="K31" s="296"/>
      <c r="L31" s="296"/>
    </row>
    <row r="32" spans="1:14" s="16" customFormat="1" ht="5.0999999999999996" customHeight="1">
      <c r="A32" s="11"/>
      <c r="B32" s="12"/>
      <c r="C32" s="13"/>
      <c r="D32" s="270"/>
      <c r="E32" s="270"/>
      <c r="F32" s="14"/>
    </row>
    <row r="33" spans="1:14" s="16" customFormat="1" ht="12.75">
      <c r="A33" s="11"/>
      <c r="B33" s="12"/>
      <c r="C33" s="13"/>
      <c r="D33" s="296" t="s">
        <v>585</v>
      </c>
      <c r="E33" s="296"/>
      <c r="F33" s="296"/>
      <c r="G33" s="296"/>
      <c r="H33" s="296" t="s">
        <v>586</v>
      </c>
      <c r="I33" s="296"/>
      <c r="J33" s="296"/>
      <c r="K33" s="296"/>
      <c r="L33" s="296"/>
      <c r="M33" s="299"/>
      <c r="N33" s="300"/>
    </row>
    <row r="34" spans="1:14" s="16" customFormat="1" ht="12.75">
      <c r="A34" s="11"/>
      <c r="B34" s="12"/>
      <c r="C34" s="13"/>
      <c r="D34" s="296"/>
      <c r="E34" s="296"/>
      <c r="F34" s="296"/>
      <c r="G34" s="296"/>
      <c r="H34" s="296"/>
      <c r="I34" s="296"/>
      <c r="J34" s="296"/>
      <c r="K34" s="296"/>
      <c r="L34" s="296"/>
    </row>
    <row r="35" spans="1:14" s="16" customFormat="1" ht="5.0999999999999996" customHeight="1">
      <c r="A35" s="11"/>
      <c r="B35" s="12"/>
      <c r="C35" s="273"/>
      <c r="D35" s="274"/>
      <c r="E35" s="274"/>
      <c r="F35" s="275"/>
      <c r="G35" s="18"/>
      <c r="H35" s="18"/>
      <c r="I35" s="18"/>
      <c r="J35" s="18"/>
      <c r="K35" s="18"/>
      <c r="L35" s="18"/>
      <c r="M35" s="18"/>
      <c r="N35" s="18"/>
    </row>
    <row r="36" spans="1:14" s="16" customFormat="1" ht="12.75">
      <c r="A36" s="11"/>
      <c r="B36" s="12"/>
      <c r="C36" s="13"/>
      <c r="D36" s="270"/>
      <c r="E36" s="270"/>
      <c r="F36" s="14"/>
    </row>
    <row r="37" spans="1:14" s="16" customFormat="1" ht="12.75">
      <c r="A37" s="11"/>
      <c r="B37" s="12"/>
      <c r="C37" s="13"/>
      <c r="D37" s="270"/>
      <c r="E37" s="270"/>
      <c r="F37" s="14"/>
    </row>
    <row r="38" spans="1:14" s="16" customFormat="1" ht="12.75">
      <c r="A38" s="11"/>
      <c r="B38" s="12"/>
      <c r="C38" s="273"/>
      <c r="D38" s="35" t="s">
        <v>110</v>
      </c>
      <c r="E38" s="274"/>
      <c r="F38" s="275"/>
      <c r="G38" s="18"/>
      <c r="H38" s="35" t="s">
        <v>111</v>
      </c>
      <c r="I38" s="18"/>
      <c r="J38" s="18"/>
      <c r="K38" s="18"/>
      <c r="L38" s="18"/>
      <c r="M38" s="301" t="s">
        <v>108</v>
      </c>
      <c r="N38" s="301"/>
    </row>
    <row r="39" spans="1:14" s="16" customFormat="1" ht="5.0999999999999996" customHeight="1">
      <c r="A39" s="11"/>
      <c r="B39" s="12"/>
      <c r="C39" s="13"/>
      <c r="D39" s="270"/>
      <c r="E39" s="270"/>
      <c r="F39" s="14"/>
    </row>
    <row r="40" spans="1:14" s="16" customFormat="1" ht="12.75">
      <c r="A40" s="11"/>
      <c r="B40" s="12"/>
      <c r="C40" s="13"/>
      <c r="D40" s="296" t="s">
        <v>112</v>
      </c>
      <c r="E40" s="296"/>
      <c r="F40" s="296"/>
      <c r="G40" s="296"/>
      <c r="H40" s="296" t="s">
        <v>113</v>
      </c>
      <c r="I40" s="296"/>
      <c r="J40" s="296"/>
      <c r="K40" s="296"/>
      <c r="L40" s="296"/>
      <c r="M40" s="298" t="s">
        <v>303</v>
      </c>
      <c r="N40" s="298"/>
    </row>
    <row r="41" spans="1:14" s="16" customFormat="1" ht="5.0999999999999996" customHeight="1">
      <c r="A41" s="11"/>
      <c r="B41" s="12"/>
      <c r="C41" s="13"/>
      <c r="D41" s="270"/>
      <c r="E41" s="270"/>
      <c r="F41" s="14"/>
    </row>
    <row r="42" spans="1:14" s="16" customFormat="1" ht="12.75">
      <c r="A42" s="11"/>
      <c r="B42" s="12"/>
      <c r="C42" s="13"/>
      <c r="D42" s="296" t="s">
        <v>114</v>
      </c>
      <c r="E42" s="296"/>
      <c r="F42" s="296"/>
      <c r="G42" s="296"/>
      <c r="H42" s="296" t="s">
        <v>115</v>
      </c>
      <c r="I42" s="296"/>
      <c r="J42" s="296"/>
      <c r="K42" s="296"/>
      <c r="L42" s="296"/>
      <c r="M42" s="298" t="s">
        <v>304</v>
      </c>
      <c r="N42" s="298"/>
    </row>
    <row r="43" spans="1:14" s="16" customFormat="1" ht="5.0999999999999996" customHeight="1">
      <c r="A43" s="11"/>
      <c r="B43" s="12"/>
      <c r="C43" s="13"/>
      <c r="D43" s="270"/>
      <c r="E43" s="270"/>
      <c r="F43" s="14"/>
    </row>
    <row r="44" spans="1:14" s="16" customFormat="1" ht="12.75">
      <c r="A44" s="11"/>
      <c r="B44" s="12"/>
      <c r="C44" s="13"/>
      <c r="D44" s="296" t="s">
        <v>116</v>
      </c>
      <c r="E44" s="296"/>
      <c r="F44" s="296"/>
      <c r="G44" s="296"/>
      <c r="H44" s="296" t="s">
        <v>117</v>
      </c>
      <c r="I44" s="296"/>
      <c r="J44" s="296"/>
      <c r="K44" s="296"/>
      <c r="L44" s="296"/>
      <c r="M44" s="298" t="s">
        <v>118</v>
      </c>
      <c r="N44" s="298"/>
    </row>
    <row r="45" spans="1:14" s="16" customFormat="1" ht="5.0999999999999996" customHeight="1">
      <c r="A45" s="11"/>
      <c r="B45" s="12"/>
      <c r="C45" s="13"/>
      <c r="D45" s="270"/>
      <c r="E45" s="270"/>
      <c r="F45" s="14"/>
    </row>
    <row r="46" spans="1:14" s="16" customFormat="1" ht="12.75">
      <c r="A46" s="11"/>
      <c r="B46" s="12"/>
      <c r="C46" s="13"/>
      <c r="D46" s="296" t="s">
        <v>119</v>
      </c>
      <c r="E46" s="296"/>
      <c r="F46" s="296"/>
      <c r="G46" s="296"/>
      <c r="H46" s="296" t="s">
        <v>120</v>
      </c>
      <c r="I46" s="296"/>
      <c r="J46" s="296"/>
      <c r="K46" s="296"/>
      <c r="L46" s="296"/>
      <c r="M46" s="297" t="s">
        <v>51</v>
      </c>
      <c r="N46" s="297"/>
    </row>
    <row r="47" spans="1:14" s="16" customFormat="1" ht="5.0999999999999996" customHeight="1">
      <c r="A47" s="11"/>
      <c r="B47" s="12"/>
      <c r="C47" s="13"/>
      <c r="D47" s="270"/>
      <c r="E47" s="270"/>
      <c r="F47" s="14"/>
    </row>
    <row r="48" spans="1:14" s="16" customFormat="1" ht="12.75">
      <c r="A48" s="11"/>
      <c r="B48" s="12"/>
      <c r="C48" s="13"/>
      <c r="D48" s="296" t="s">
        <v>121</v>
      </c>
      <c r="E48" s="296"/>
      <c r="F48" s="296"/>
      <c r="G48" s="296"/>
      <c r="H48" s="296" t="s">
        <v>122</v>
      </c>
      <c r="I48" s="296"/>
      <c r="J48" s="296"/>
      <c r="K48" s="296"/>
      <c r="L48" s="296"/>
      <c r="M48" s="297" t="s">
        <v>53</v>
      </c>
      <c r="N48" s="297"/>
    </row>
    <row r="49" spans="1:14" s="16" customFormat="1" ht="5.0999999999999996" customHeight="1">
      <c r="A49" s="11"/>
      <c r="B49" s="12"/>
      <c r="C49" s="13"/>
      <c r="D49" s="270"/>
      <c r="E49" s="270"/>
      <c r="F49" s="14"/>
    </row>
    <row r="50" spans="1:14" s="16" customFormat="1" ht="12.75">
      <c r="A50" s="11"/>
      <c r="B50" s="12"/>
      <c r="C50" s="13"/>
      <c r="D50" s="296" t="s">
        <v>123</v>
      </c>
      <c r="E50" s="296"/>
      <c r="F50" s="296"/>
      <c r="G50" s="296"/>
      <c r="H50" s="296" t="s">
        <v>305</v>
      </c>
      <c r="I50" s="296"/>
      <c r="J50" s="296"/>
      <c r="K50" s="296"/>
      <c r="L50" s="296"/>
      <c r="M50" s="297" t="s">
        <v>102</v>
      </c>
      <c r="N50" s="297"/>
    </row>
    <row r="51" spans="1:14" s="16" customFormat="1" ht="5.0999999999999996" customHeight="1">
      <c r="A51" s="11"/>
      <c r="B51" s="12"/>
      <c r="C51" s="273"/>
      <c r="D51" s="274"/>
      <c r="E51" s="274"/>
      <c r="F51" s="275"/>
      <c r="G51" s="18"/>
      <c r="H51" s="18"/>
      <c r="I51" s="18"/>
      <c r="J51" s="18"/>
      <c r="K51" s="18"/>
      <c r="L51" s="18"/>
      <c r="M51" s="18"/>
      <c r="N51" s="18"/>
    </row>
    <row r="52" spans="1:14" s="16" customFormat="1" ht="12.75">
      <c r="A52" s="11"/>
      <c r="B52" s="12"/>
      <c r="C52" s="13"/>
      <c r="D52" s="270"/>
      <c r="E52" s="270"/>
      <c r="F52" s="14"/>
    </row>
    <row r="53" spans="1:14" s="16" customFormat="1" ht="12.75">
      <c r="A53" s="11"/>
      <c r="B53" s="12"/>
      <c r="C53" s="13"/>
      <c r="D53" s="270"/>
      <c r="E53" s="270"/>
      <c r="F53" s="14"/>
    </row>
    <row r="54" spans="1:14" s="16" customFormat="1" ht="12.75">
      <c r="A54" s="11"/>
      <c r="B54" s="33" t="s">
        <v>124</v>
      </c>
      <c r="C54" s="13"/>
      <c r="D54" s="270"/>
      <c r="E54" s="270"/>
      <c r="F54" s="14"/>
    </row>
    <row r="55" spans="1:14" s="16" customFormat="1" ht="12.75">
      <c r="A55" s="11"/>
      <c r="B55" s="12"/>
      <c r="C55" s="13"/>
      <c r="D55" s="270"/>
      <c r="E55" s="270"/>
      <c r="F55" s="14"/>
    </row>
    <row r="56" spans="1:14" s="16" customFormat="1" ht="12.75">
      <c r="A56" s="11"/>
      <c r="B56" s="12"/>
      <c r="C56" s="273"/>
      <c r="D56" s="35" t="s">
        <v>306</v>
      </c>
      <c r="E56" s="274"/>
      <c r="F56" s="275"/>
      <c r="G56" s="18"/>
      <c r="H56" s="35" t="s">
        <v>125</v>
      </c>
      <c r="I56" s="18"/>
      <c r="J56" s="18"/>
      <c r="K56" s="18"/>
      <c r="L56" s="18"/>
      <c r="M56" s="301" t="s">
        <v>307</v>
      </c>
      <c r="N56" s="301"/>
    </row>
    <row r="57" spans="1:14" s="16" customFormat="1" ht="5.0999999999999996" customHeight="1">
      <c r="A57" s="11"/>
      <c r="B57" s="12"/>
      <c r="C57" s="13"/>
      <c r="D57" s="270"/>
      <c r="E57" s="270"/>
      <c r="F57" s="14"/>
    </row>
    <row r="58" spans="1:14" s="16" customFormat="1" ht="12.75">
      <c r="A58" s="11"/>
      <c r="B58" s="12"/>
      <c r="C58" s="13"/>
      <c r="D58" s="296" t="s">
        <v>308</v>
      </c>
      <c r="E58" s="296"/>
      <c r="F58" s="296"/>
      <c r="G58" s="296"/>
      <c r="H58" s="296" t="s">
        <v>126</v>
      </c>
      <c r="I58" s="296"/>
      <c r="J58" s="296"/>
      <c r="K58" s="296"/>
      <c r="L58" s="296"/>
      <c r="M58" s="310" t="s">
        <v>309</v>
      </c>
      <c r="N58" s="310"/>
    </row>
    <row r="59" spans="1:14" s="16" customFormat="1" ht="5.0999999999999996" customHeight="1">
      <c r="A59" s="11"/>
      <c r="B59" s="12"/>
      <c r="C59" s="13"/>
      <c r="D59" s="270"/>
      <c r="E59" s="270"/>
      <c r="F59" s="14"/>
    </row>
    <row r="60" spans="1:14" s="16" customFormat="1" ht="12.75">
      <c r="A60" s="11"/>
      <c r="B60" s="12"/>
      <c r="C60" s="13"/>
      <c r="D60" s="296" t="s">
        <v>131</v>
      </c>
      <c r="E60" s="296"/>
      <c r="F60" s="296"/>
      <c r="G60" s="296"/>
      <c r="H60" s="296" t="s">
        <v>132</v>
      </c>
      <c r="I60" s="296"/>
      <c r="J60" s="296"/>
      <c r="K60" s="296"/>
      <c r="L60" s="296"/>
      <c r="M60" s="310" t="s">
        <v>133</v>
      </c>
      <c r="N60" s="310"/>
    </row>
    <row r="61" spans="1:14" s="16" customFormat="1" ht="5.0999999999999996" customHeight="1">
      <c r="A61" s="11"/>
      <c r="B61" s="12"/>
      <c r="C61" s="276"/>
      <c r="D61" s="277"/>
      <c r="E61" s="277"/>
      <c r="F61" s="278"/>
      <c r="G61" s="20"/>
      <c r="H61" s="20"/>
      <c r="I61" s="20"/>
      <c r="J61" s="20"/>
      <c r="K61" s="20"/>
      <c r="L61" s="20"/>
      <c r="M61" s="20"/>
      <c r="N61" s="20"/>
    </row>
    <row r="62" spans="1:14" s="16" customFormat="1" ht="5.0999999999999996" customHeight="1">
      <c r="A62" s="11"/>
      <c r="B62" s="12"/>
      <c r="C62" s="13"/>
      <c r="D62" s="270"/>
      <c r="E62" s="270"/>
      <c r="F62" s="14"/>
    </row>
    <row r="63" spans="1:14" s="16" customFormat="1" ht="12.75">
      <c r="A63" s="11"/>
      <c r="B63" s="12"/>
      <c r="C63" s="13"/>
      <c r="D63" s="296" t="s">
        <v>127</v>
      </c>
      <c r="E63" s="296"/>
      <c r="F63" s="296"/>
      <c r="G63" s="296"/>
      <c r="H63" s="296" t="s">
        <v>128</v>
      </c>
      <c r="I63" s="296"/>
      <c r="J63" s="296"/>
      <c r="K63" s="296"/>
      <c r="L63" s="296"/>
      <c r="M63" s="310" t="s">
        <v>103</v>
      </c>
      <c r="N63" s="310"/>
    </row>
    <row r="64" spans="1:14" s="16" customFormat="1" ht="5.0999999999999996" customHeight="1">
      <c r="A64" s="11"/>
      <c r="B64" s="12"/>
      <c r="C64" s="13"/>
      <c r="D64" s="270"/>
      <c r="E64" s="270"/>
      <c r="F64" s="14"/>
    </row>
    <row r="65" spans="1:14" s="16" customFormat="1" ht="12.75">
      <c r="A65" s="11"/>
      <c r="B65" s="12"/>
      <c r="C65" s="13"/>
      <c r="D65" s="296" t="s">
        <v>129</v>
      </c>
      <c r="E65" s="296"/>
      <c r="F65" s="296"/>
      <c r="G65" s="296"/>
      <c r="H65" s="296" t="s">
        <v>130</v>
      </c>
      <c r="I65" s="296"/>
      <c r="J65" s="296"/>
      <c r="K65" s="296"/>
      <c r="L65" s="296"/>
      <c r="M65" s="310" t="s">
        <v>104</v>
      </c>
      <c r="N65" s="310"/>
    </row>
    <row r="66" spans="1:14" s="16" customFormat="1" ht="5.0999999999999996" customHeight="1">
      <c r="A66" s="11"/>
      <c r="B66" s="12"/>
      <c r="C66" s="276"/>
      <c r="D66" s="277"/>
      <c r="E66" s="277"/>
      <c r="F66" s="278"/>
      <c r="G66" s="20"/>
      <c r="H66" s="20"/>
      <c r="I66" s="20"/>
      <c r="J66" s="20"/>
      <c r="K66" s="20"/>
      <c r="L66" s="20"/>
      <c r="M66" s="20"/>
      <c r="N66" s="20"/>
    </row>
    <row r="67" spans="1:14" s="16" customFormat="1" ht="5.0999999999999996" customHeight="1">
      <c r="A67" s="11"/>
      <c r="B67" s="12"/>
      <c r="C67" s="13"/>
      <c r="D67" s="270"/>
      <c r="E67" s="270"/>
      <c r="F67" s="14"/>
    </row>
    <row r="68" spans="1:14" s="16" customFormat="1" ht="12.75">
      <c r="A68" s="11"/>
      <c r="B68" s="12"/>
      <c r="C68" s="13"/>
      <c r="D68" s="296" t="s">
        <v>310</v>
      </c>
      <c r="E68" s="296"/>
      <c r="F68" s="296"/>
      <c r="G68" s="296"/>
      <c r="H68" s="296" t="s">
        <v>137</v>
      </c>
      <c r="I68" s="296"/>
      <c r="J68" s="296"/>
      <c r="K68" s="296"/>
      <c r="L68" s="296"/>
      <c r="M68" s="310" t="s">
        <v>138</v>
      </c>
      <c r="N68" s="310"/>
    </row>
    <row r="69" spans="1:14" s="16" customFormat="1" ht="5.0999999999999996" customHeight="1">
      <c r="A69" s="11"/>
      <c r="B69" s="12"/>
      <c r="C69" s="13"/>
      <c r="D69" s="270"/>
      <c r="E69" s="270"/>
      <c r="F69" s="14"/>
    </row>
    <row r="70" spans="1:14" s="16" customFormat="1" ht="12.75">
      <c r="A70" s="11"/>
      <c r="B70" s="12"/>
      <c r="C70" s="13"/>
      <c r="D70" s="296" t="s">
        <v>311</v>
      </c>
      <c r="E70" s="296"/>
      <c r="F70" s="296"/>
      <c r="G70" s="296"/>
      <c r="H70" s="296" t="s">
        <v>312</v>
      </c>
      <c r="I70" s="296"/>
      <c r="J70" s="296"/>
      <c r="K70" s="296"/>
      <c r="L70" s="296"/>
      <c r="M70" s="310" t="s">
        <v>313</v>
      </c>
      <c r="N70" s="310"/>
    </row>
    <row r="71" spans="1:14" s="16" customFormat="1" ht="12.75">
      <c r="A71" s="11"/>
      <c r="B71" s="12"/>
      <c r="C71" s="13"/>
      <c r="D71" s="296"/>
      <c r="E71" s="296"/>
      <c r="F71" s="296"/>
      <c r="G71" s="296"/>
      <c r="H71" s="296"/>
      <c r="I71" s="296"/>
      <c r="J71" s="296"/>
      <c r="K71" s="296"/>
      <c r="L71" s="296"/>
    </row>
    <row r="72" spans="1:14" s="16" customFormat="1" ht="5.0999999999999996" customHeight="1">
      <c r="A72" s="11"/>
      <c r="B72" s="12"/>
      <c r="C72" s="276"/>
      <c r="D72" s="277"/>
      <c r="E72" s="277"/>
      <c r="F72" s="278"/>
      <c r="G72" s="20"/>
      <c r="H72" s="20"/>
      <c r="I72" s="20"/>
      <c r="J72" s="20"/>
      <c r="K72" s="20"/>
      <c r="L72" s="20"/>
      <c r="M72" s="20"/>
      <c r="N72" s="20"/>
    </row>
    <row r="73" spans="1:14" s="16" customFormat="1" ht="5.0999999999999996" customHeight="1">
      <c r="A73" s="11"/>
      <c r="B73" s="12"/>
      <c r="C73" s="13"/>
      <c r="D73" s="270"/>
      <c r="E73" s="270"/>
      <c r="F73" s="14"/>
    </row>
    <row r="74" spans="1:14" s="16" customFormat="1" ht="12.75">
      <c r="A74" s="11"/>
      <c r="B74" s="12"/>
      <c r="C74" s="13"/>
      <c r="D74" s="296" t="s">
        <v>139</v>
      </c>
      <c r="E74" s="296"/>
      <c r="F74" s="296"/>
      <c r="G74" s="296"/>
      <c r="H74" s="296" t="s">
        <v>140</v>
      </c>
      <c r="I74" s="296"/>
      <c r="J74" s="296"/>
      <c r="K74" s="296"/>
      <c r="L74" s="296"/>
      <c r="M74" s="310" t="s">
        <v>601</v>
      </c>
      <c r="N74" s="310"/>
    </row>
    <row r="75" spans="1:14" s="16" customFormat="1" ht="5.0999999999999996" customHeight="1">
      <c r="A75" s="11"/>
      <c r="B75" s="12"/>
      <c r="C75" s="13"/>
      <c r="D75" s="270"/>
      <c r="E75" s="270"/>
      <c r="F75" s="14"/>
    </row>
    <row r="76" spans="1:14" s="16" customFormat="1" ht="12.75">
      <c r="A76" s="11"/>
      <c r="B76" s="12"/>
      <c r="C76" s="13"/>
      <c r="D76" s="296" t="s">
        <v>314</v>
      </c>
      <c r="E76" s="296"/>
      <c r="F76" s="296"/>
      <c r="G76" s="296"/>
      <c r="H76" s="296" t="s">
        <v>315</v>
      </c>
      <c r="I76" s="296"/>
      <c r="J76" s="296"/>
      <c r="K76" s="296"/>
      <c r="L76" s="296"/>
      <c r="M76" s="310" t="s">
        <v>316</v>
      </c>
      <c r="N76" s="310"/>
    </row>
    <row r="77" spans="1:14" s="16" customFormat="1" ht="12.75">
      <c r="A77" s="11"/>
      <c r="B77" s="12"/>
      <c r="C77" s="13"/>
      <c r="D77" s="296"/>
      <c r="E77" s="296"/>
      <c r="F77" s="296"/>
      <c r="G77" s="296"/>
      <c r="H77" s="296"/>
      <c r="I77" s="296"/>
      <c r="J77" s="296"/>
      <c r="K77" s="296"/>
      <c r="L77" s="296"/>
    </row>
    <row r="78" spans="1:14" s="16" customFormat="1" ht="5.0999999999999996" customHeight="1">
      <c r="A78" s="11"/>
      <c r="B78" s="12"/>
      <c r="C78" s="276"/>
      <c r="D78" s="277"/>
      <c r="E78" s="277"/>
      <c r="F78" s="278"/>
      <c r="G78" s="20"/>
      <c r="H78" s="20"/>
      <c r="I78" s="20"/>
      <c r="J78" s="20"/>
      <c r="K78" s="20"/>
      <c r="L78" s="20"/>
      <c r="M78" s="20"/>
      <c r="N78" s="20"/>
    </row>
    <row r="79" spans="1:14" s="16" customFormat="1" ht="5.0999999999999996" customHeight="1">
      <c r="A79" s="11"/>
      <c r="B79" s="12"/>
      <c r="C79" s="13"/>
      <c r="D79" s="270"/>
      <c r="E79" s="270"/>
      <c r="F79" s="14"/>
    </row>
    <row r="80" spans="1:14" s="16" customFormat="1" ht="12.75">
      <c r="A80" s="11"/>
      <c r="B80" s="12"/>
      <c r="C80" s="13"/>
      <c r="D80" s="296" t="s">
        <v>317</v>
      </c>
      <c r="E80" s="296"/>
      <c r="F80" s="296"/>
      <c r="G80" s="296"/>
      <c r="H80" s="296" t="s">
        <v>318</v>
      </c>
      <c r="I80" s="296"/>
      <c r="J80" s="296"/>
      <c r="K80" s="296"/>
      <c r="L80" s="296"/>
      <c r="M80" s="310" t="s">
        <v>319</v>
      </c>
      <c r="N80" s="310"/>
    </row>
    <row r="81" spans="1:14" s="16" customFormat="1" ht="12.75">
      <c r="A81" s="11"/>
      <c r="B81" s="12"/>
      <c r="C81" s="13"/>
      <c r="D81" s="296"/>
      <c r="E81" s="296"/>
      <c r="F81" s="296"/>
      <c r="G81" s="296"/>
      <c r="H81" s="296"/>
      <c r="I81" s="296"/>
      <c r="J81" s="296"/>
      <c r="K81" s="296"/>
      <c r="L81" s="296"/>
    </row>
    <row r="82" spans="1:14" s="16" customFormat="1" ht="5.0999999999999996" customHeight="1">
      <c r="A82" s="11"/>
      <c r="B82" s="12"/>
      <c r="C82" s="276"/>
      <c r="D82" s="277"/>
      <c r="E82" s="277"/>
      <c r="F82" s="278"/>
      <c r="G82" s="20"/>
      <c r="H82" s="20"/>
      <c r="I82" s="20"/>
      <c r="J82" s="20"/>
      <c r="K82" s="20"/>
      <c r="L82" s="20"/>
      <c r="M82" s="20"/>
      <c r="N82" s="20"/>
    </row>
    <row r="83" spans="1:14" s="16" customFormat="1" ht="5.0999999999999996" customHeight="1">
      <c r="A83" s="11"/>
      <c r="B83" s="12"/>
      <c r="C83" s="13"/>
      <c r="D83" s="270"/>
      <c r="E83" s="270"/>
      <c r="F83" s="14"/>
    </row>
    <row r="84" spans="1:14" s="16" customFormat="1" ht="12.75">
      <c r="A84" s="11"/>
      <c r="B84" s="12"/>
      <c r="C84" s="13"/>
      <c r="D84" s="296" t="s">
        <v>134</v>
      </c>
      <c r="E84" s="296"/>
      <c r="F84" s="296"/>
      <c r="G84" s="296"/>
      <c r="H84" s="296" t="s">
        <v>135</v>
      </c>
      <c r="I84" s="296"/>
      <c r="J84" s="296"/>
      <c r="K84" s="296"/>
      <c r="L84" s="296"/>
      <c r="M84" s="310" t="s">
        <v>136</v>
      </c>
      <c r="N84" s="310"/>
    </row>
    <row r="85" spans="1:14" s="16" customFormat="1" ht="5.0999999999999996" customHeight="1">
      <c r="A85" s="11"/>
      <c r="B85" s="12"/>
      <c r="C85" s="276"/>
      <c r="D85" s="277"/>
      <c r="E85" s="277"/>
      <c r="F85" s="278"/>
      <c r="G85" s="20"/>
      <c r="H85" s="20"/>
      <c r="I85" s="20"/>
      <c r="J85" s="20"/>
      <c r="K85" s="20"/>
      <c r="L85" s="20"/>
      <c r="M85" s="20"/>
      <c r="N85" s="20"/>
    </row>
    <row r="86" spans="1:14" s="16" customFormat="1" ht="5.0999999999999996" customHeight="1">
      <c r="A86" s="11"/>
      <c r="B86" s="12"/>
      <c r="C86" s="13"/>
      <c r="D86" s="270"/>
      <c r="E86" s="270"/>
      <c r="F86" s="14"/>
    </row>
    <row r="87" spans="1:14" s="16" customFormat="1" ht="12.75">
      <c r="A87" s="11"/>
      <c r="B87" s="12"/>
      <c r="C87" s="13"/>
      <c r="D87" s="296" t="s">
        <v>141</v>
      </c>
      <c r="E87" s="296"/>
      <c r="F87" s="296"/>
      <c r="G87" s="296"/>
      <c r="H87" s="296" t="s">
        <v>142</v>
      </c>
      <c r="I87" s="296"/>
      <c r="J87" s="296"/>
      <c r="K87" s="296"/>
      <c r="L87" s="296"/>
      <c r="M87" s="310" t="s">
        <v>143</v>
      </c>
      <c r="N87" s="310"/>
    </row>
    <row r="88" spans="1:14" s="16" customFormat="1" ht="5.0999999999999996" customHeight="1">
      <c r="A88" s="11"/>
      <c r="B88" s="12"/>
      <c r="C88" s="273"/>
      <c r="D88" s="274"/>
      <c r="E88" s="274"/>
      <c r="F88" s="275"/>
      <c r="G88" s="18"/>
      <c r="H88" s="18"/>
      <c r="I88" s="18"/>
      <c r="J88" s="18"/>
      <c r="K88" s="18"/>
      <c r="L88" s="18"/>
      <c r="M88" s="18"/>
      <c r="N88" s="18"/>
    </row>
    <row r="89" spans="1:14" s="16" customFormat="1" ht="5.0999999999999996" customHeight="1">
      <c r="A89" s="11"/>
      <c r="B89" s="12"/>
      <c r="C89" s="13"/>
      <c r="D89" s="270"/>
      <c r="E89" s="270"/>
      <c r="F89" s="14"/>
    </row>
    <row r="90" spans="1:14" s="16" customFormat="1" ht="12.75">
      <c r="A90" s="11"/>
      <c r="B90" s="12"/>
      <c r="C90" s="13"/>
      <c r="D90" s="296" t="s">
        <v>144</v>
      </c>
      <c r="E90" s="296"/>
      <c r="F90" s="296"/>
      <c r="G90" s="296"/>
      <c r="H90" s="296" t="s">
        <v>320</v>
      </c>
      <c r="I90" s="296"/>
      <c r="J90" s="296"/>
      <c r="K90" s="296"/>
      <c r="L90" s="296"/>
      <c r="M90" s="310" t="s">
        <v>145</v>
      </c>
      <c r="N90" s="310"/>
    </row>
    <row r="91" spans="1:14" s="16" customFormat="1" ht="12.75">
      <c r="A91" s="11"/>
      <c r="B91" s="12"/>
      <c r="C91" s="13"/>
      <c r="D91" s="296"/>
      <c r="E91" s="296"/>
      <c r="F91" s="296"/>
      <c r="G91" s="296"/>
      <c r="H91" s="296"/>
      <c r="I91" s="296"/>
      <c r="J91" s="296"/>
      <c r="K91" s="296"/>
      <c r="L91" s="296"/>
    </row>
    <row r="92" spans="1:14" s="16" customFormat="1" ht="5.0999999999999996" customHeight="1">
      <c r="A92" s="11"/>
      <c r="B92" s="12"/>
      <c r="C92" s="13"/>
      <c r="D92" s="270"/>
      <c r="E92" s="270"/>
      <c r="F92" s="14"/>
    </row>
    <row r="93" spans="1:14" s="16" customFormat="1" ht="12.75">
      <c r="A93" s="11"/>
      <c r="B93" s="12"/>
      <c r="C93" s="13"/>
      <c r="D93" s="296" t="s">
        <v>146</v>
      </c>
      <c r="E93" s="296"/>
      <c r="F93" s="296"/>
      <c r="G93" s="296"/>
      <c r="H93" s="296" t="s">
        <v>321</v>
      </c>
      <c r="I93" s="296"/>
      <c r="J93" s="296"/>
      <c r="K93" s="296"/>
      <c r="L93" s="296"/>
      <c r="M93" s="310" t="s">
        <v>147</v>
      </c>
      <c r="N93" s="310"/>
    </row>
    <row r="94" spans="1:14" s="16" customFormat="1" ht="12.75">
      <c r="A94" s="11"/>
      <c r="B94" s="12"/>
      <c r="C94" s="13"/>
      <c r="D94" s="296"/>
      <c r="E94" s="296"/>
      <c r="F94" s="296"/>
      <c r="G94" s="296"/>
      <c r="H94" s="296"/>
      <c r="I94" s="296"/>
      <c r="J94" s="296"/>
      <c r="K94" s="296"/>
      <c r="L94" s="296"/>
    </row>
    <row r="95" spans="1:14" s="16" customFormat="1" ht="5.0999999999999996" customHeight="1">
      <c r="A95" s="11"/>
      <c r="B95" s="12"/>
      <c r="C95" s="276"/>
      <c r="D95" s="277"/>
      <c r="E95" s="277"/>
      <c r="F95" s="278"/>
      <c r="G95" s="20"/>
      <c r="H95" s="20"/>
      <c r="I95" s="20"/>
      <c r="J95" s="20"/>
      <c r="K95" s="20"/>
      <c r="L95" s="20"/>
      <c r="M95" s="20"/>
      <c r="N95" s="20"/>
    </row>
    <row r="96" spans="1:14" s="16" customFormat="1" ht="5.0999999999999996" customHeight="1">
      <c r="A96" s="11"/>
      <c r="B96" s="12"/>
      <c r="C96" s="13"/>
      <c r="D96" s="270"/>
      <c r="E96" s="270"/>
      <c r="F96" s="14"/>
    </row>
    <row r="97" spans="1:14" s="16" customFormat="1" ht="12.75">
      <c r="A97" s="11"/>
      <c r="B97" s="12"/>
      <c r="C97" s="13"/>
      <c r="D97" s="296" t="s">
        <v>597</v>
      </c>
      <c r="E97" s="296"/>
      <c r="F97" s="296"/>
      <c r="G97" s="296"/>
      <c r="H97" s="296" t="s">
        <v>598</v>
      </c>
      <c r="I97" s="296"/>
      <c r="J97" s="296"/>
      <c r="K97" s="296"/>
      <c r="L97" s="296"/>
      <c r="M97" s="310" t="s">
        <v>599</v>
      </c>
      <c r="N97" s="310"/>
    </row>
    <row r="98" spans="1:14" s="16" customFormat="1" ht="12.75">
      <c r="A98" s="11"/>
      <c r="B98" s="12"/>
      <c r="C98" s="13"/>
      <c r="D98" s="296"/>
      <c r="E98" s="296"/>
      <c r="F98" s="296"/>
      <c r="G98" s="296"/>
      <c r="H98" s="296"/>
      <c r="I98" s="296"/>
      <c r="J98" s="296"/>
      <c r="K98" s="296"/>
      <c r="L98" s="296"/>
    </row>
    <row r="99" spans="1:14" s="16" customFormat="1" ht="5.0999999999999996" customHeight="1">
      <c r="A99" s="11"/>
      <c r="B99" s="12"/>
      <c r="C99" s="273"/>
      <c r="D99" s="274"/>
      <c r="E99" s="274"/>
      <c r="F99" s="275"/>
      <c r="G99" s="18"/>
      <c r="H99" s="18"/>
      <c r="I99" s="18"/>
      <c r="J99" s="18"/>
      <c r="K99" s="18"/>
      <c r="L99" s="18"/>
      <c r="M99" s="18"/>
      <c r="N99" s="18"/>
    </row>
    <row r="100" spans="1:14" s="16" customFormat="1" ht="12.75">
      <c r="A100" s="11"/>
      <c r="B100" s="12"/>
      <c r="C100" s="13"/>
      <c r="D100" s="270"/>
      <c r="E100" s="270"/>
      <c r="F100" s="14"/>
    </row>
    <row r="101" spans="1:14" s="16" customFormat="1" ht="12.75">
      <c r="A101" s="11"/>
      <c r="B101" s="12"/>
      <c r="C101" s="26" t="s">
        <v>587</v>
      </c>
      <c r="D101" s="270"/>
      <c r="E101" s="270"/>
      <c r="F101" s="14"/>
    </row>
    <row r="102" spans="1:14" s="16" customFormat="1" ht="12.75">
      <c r="A102" s="11"/>
      <c r="B102" s="12"/>
      <c r="C102" s="36" t="s">
        <v>322</v>
      </c>
      <c r="D102" s="270"/>
      <c r="E102" s="270"/>
      <c r="F102" s="14"/>
    </row>
    <row r="103" spans="1:14" s="16" customFormat="1" ht="12.75">
      <c r="A103" s="11"/>
      <c r="B103" s="12"/>
      <c r="C103" s="36" t="s">
        <v>600</v>
      </c>
      <c r="D103" s="270"/>
      <c r="E103" s="270"/>
      <c r="F103" s="14"/>
    </row>
    <row r="104" spans="1:14" s="16" customFormat="1" ht="12.75">
      <c r="A104" s="11"/>
      <c r="B104" s="12"/>
      <c r="C104" s="13"/>
      <c r="D104" s="270"/>
      <c r="E104" s="270"/>
      <c r="F104" s="14"/>
    </row>
    <row r="105" spans="1:14" s="16" customFormat="1" ht="12.75">
      <c r="A105" s="11"/>
      <c r="B105" s="12"/>
      <c r="C105" s="13"/>
      <c r="D105" s="270"/>
      <c r="E105" s="270"/>
      <c r="F105" s="14"/>
    </row>
    <row r="106" spans="1:14" s="16" customFormat="1" ht="12.75">
      <c r="A106" s="11"/>
      <c r="B106" s="33" t="s">
        <v>148</v>
      </c>
      <c r="C106" s="13"/>
      <c r="D106" s="270"/>
      <c r="E106" s="270"/>
      <c r="F106" s="14"/>
    </row>
    <row r="107" spans="1:14" s="16" customFormat="1" ht="12.75">
      <c r="A107" s="11"/>
      <c r="B107" s="12"/>
      <c r="C107" s="13"/>
      <c r="D107" s="270"/>
      <c r="E107" s="270"/>
      <c r="F107" s="14"/>
    </row>
    <row r="108" spans="1:14" s="16" customFormat="1" ht="12.75">
      <c r="A108" s="11"/>
      <c r="B108" s="12"/>
      <c r="C108" s="273"/>
      <c r="D108" s="35" t="s">
        <v>149</v>
      </c>
      <c r="E108" s="274"/>
      <c r="F108" s="275"/>
      <c r="G108" s="18"/>
      <c r="H108" s="35" t="s">
        <v>150</v>
      </c>
      <c r="I108" s="18"/>
      <c r="J108" s="18"/>
      <c r="K108" s="18"/>
      <c r="L108" s="18"/>
      <c r="M108" s="301" t="s">
        <v>151</v>
      </c>
      <c r="N108" s="301"/>
    </row>
    <row r="109" spans="1:14" s="16" customFormat="1" ht="5.0999999999999996" customHeight="1">
      <c r="A109" s="11"/>
      <c r="B109" s="12"/>
      <c r="C109" s="13"/>
      <c r="D109" s="270"/>
      <c r="E109" s="270"/>
      <c r="F109" s="14"/>
    </row>
    <row r="110" spans="1:14" s="16" customFormat="1" ht="12.75">
      <c r="A110" s="11"/>
      <c r="B110" s="12"/>
      <c r="C110" s="13"/>
      <c r="D110" s="311" t="s">
        <v>152</v>
      </c>
      <c r="E110" s="311"/>
      <c r="F110" s="311"/>
      <c r="G110" s="311"/>
      <c r="H110" s="311" t="s">
        <v>153</v>
      </c>
      <c r="I110" s="311"/>
      <c r="J110" s="311"/>
      <c r="K110" s="311"/>
      <c r="L110" s="311"/>
      <c r="M110" s="312" t="s">
        <v>154</v>
      </c>
      <c r="N110" s="312"/>
    </row>
    <row r="111" spans="1:14" s="16" customFormat="1" ht="5.0999999999999996" customHeight="1">
      <c r="A111" s="11"/>
      <c r="B111" s="12"/>
      <c r="C111" s="13"/>
      <c r="D111" s="270"/>
      <c r="E111" s="270"/>
      <c r="F111" s="14"/>
    </row>
    <row r="112" spans="1:14" s="16" customFormat="1" ht="12.75">
      <c r="A112" s="11"/>
      <c r="B112" s="12"/>
      <c r="C112" s="13"/>
      <c r="D112" s="311" t="s">
        <v>155</v>
      </c>
      <c r="E112" s="311"/>
      <c r="F112" s="311"/>
      <c r="G112" s="311"/>
      <c r="H112" s="311" t="s">
        <v>156</v>
      </c>
      <c r="I112" s="311"/>
      <c r="J112" s="311"/>
      <c r="K112" s="311"/>
      <c r="L112" s="311"/>
      <c r="M112" s="312" t="s">
        <v>157</v>
      </c>
      <c r="N112" s="312"/>
    </row>
    <row r="113" spans="1:14" s="16" customFormat="1" ht="5.0999999999999996" customHeight="1">
      <c r="A113" s="11"/>
      <c r="B113" s="12"/>
      <c r="C113" s="13"/>
      <c r="D113" s="270"/>
      <c r="E113" s="270"/>
      <c r="F113" s="14"/>
    </row>
    <row r="114" spans="1:14" s="16" customFormat="1" ht="12.75">
      <c r="A114" s="11"/>
      <c r="B114" s="12"/>
      <c r="C114" s="13"/>
      <c r="D114" s="311" t="s">
        <v>158</v>
      </c>
      <c r="E114" s="311"/>
      <c r="F114" s="311"/>
      <c r="G114" s="311"/>
      <c r="H114" s="311" t="s">
        <v>159</v>
      </c>
      <c r="I114" s="311"/>
      <c r="J114" s="311"/>
      <c r="K114" s="311"/>
      <c r="L114" s="311"/>
      <c r="M114" s="312" t="s">
        <v>160</v>
      </c>
      <c r="N114" s="312"/>
    </row>
    <row r="115" spans="1:14" s="16" customFormat="1" ht="5.0999999999999996" customHeight="1">
      <c r="A115" s="11"/>
      <c r="B115" s="12"/>
      <c r="C115" s="13"/>
      <c r="D115" s="270"/>
      <c r="E115" s="270"/>
      <c r="F115" s="14"/>
    </row>
    <row r="116" spans="1:14" s="16" customFormat="1" ht="12.75">
      <c r="A116" s="11"/>
      <c r="B116" s="12"/>
      <c r="C116" s="13"/>
      <c r="D116" s="311" t="s">
        <v>161</v>
      </c>
      <c r="E116" s="311"/>
      <c r="F116" s="311"/>
      <c r="G116" s="311"/>
      <c r="H116" s="311" t="s">
        <v>162</v>
      </c>
      <c r="I116" s="311"/>
      <c r="J116" s="311"/>
      <c r="K116" s="311"/>
      <c r="L116" s="311"/>
      <c r="M116" s="312" t="s">
        <v>163</v>
      </c>
      <c r="N116" s="312"/>
    </row>
    <row r="117" spans="1:14" s="16" customFormat="1" ht="5.0999999999999996" customHeight="1">
      <c r="A117" s="11"/>
      <c r="B117" s="12"/>
      <c r="C117" s="13"/>
      <c r="D117" s="270"/>
      <c r="E117" s="270"/>
      <c r="F117" s="14"/>
    </row>
    <row r="118" spans="1:14" s="16" customFormat="1" ht="12.75">
      <c r="A118" s="11"/>
      <c r="B118" s="12"/>
      <c r="C118" s="13"/>
      <c r="D118" s="311" t="s">
        <v>164</v>
      </c>
      <c r="E118" s="311"/>
      <c r="F118" s="311"/>
      <c r="G118" s="311"/>
      <c r="H118" s="311" t="s">
        <v>165</v>
      </c>
      <c r="I118" s="311"/>
      <c r="J118" s="311"/>
      <c r="K118" s="311"/>
      <c r="L118" s="311"/>
      <c r="M118" s="312" t="s">
        <v>166</v>
      </c>
      <c r="N118" s="312"/>
    </row>
    <row r="119" spans="1:14" s="16" customFormat="1" ht="5.0999999999999996" customHeight="1">
      <c r="A119" s="11"/>
      <c r="B119" s="12"/>
      <c r="C119" s="13"/>
      <c r="D119" s="270"/>
      <c r="E119" s="270"/>
      <c r="F119" s="14"/>
    </row>
    <row r="120" spans="1:14" s="16" customFormat="1" ht="12.75">
      <c r="A120" s="11"/>
      <c r="B120" s="12"/>
      <c r="C120" s="13"/>
      <c r="D120" s="311" t="s">
        <v>317</v>
      </c>
      <c r="E120" s="311"/>
      <c r="F120" s="311"/>
      <c r="G120" s="311"/>
      <c r="H120" s="311" t="s">
        <v>167</v>
      </c>
      <c r="I120" s="311"/>
      <c r="J120" s="311"/>
      <c r="K120" s="311"/>
      <c r="L120" s="311"/>
      <c r="M120" s="312" t="s">
        <v>168</v>
      </c>
      <c r="N120" s="312"/>
    </row>
    <row r="121" spans="1:14" s="16" customFormat="1" ht="5.0999999999999996" customHeight="1">
      <c r="A121" s="11"/>
      <c r="B121" s="12"/>
      <c r="C121" s="13"/>
      <c r="D121" s="270"/>
      <c r="E121" s="270"/>
      <c r="F121" s="14"/>
    </row>
    <row r="122" spans="1:14" s="16" customFormat="1" ht="12.75">
      <c r="A122" s="11"/>
      <c r="B122" s="12"/>
      <c r="C122" s="13"/>
      <c r="D122" s="311" t="s">
        <v>109</v>
      </c>
      <c r="E122" s="311"/>
      <c r="F122" s="311"/>
      <c r="G122" s="311"/>
      <c r="H122" s="311" t="s">
        <v>169</v>
      </c>
      <c r="I122" s="311"/>
      <c r="J122" s="311"/>
      <c r="K122" s="311"/>
      <c r="L122" s="311"/>
      <c r="M122" s="312" t="s">
        <v>170</v>
      </c>
      <c r="N122" s="312"/>
    </row>
    <row r="123" spans="1:14" s="16" customFormat="1" ht="5.0999999999999996" customHeight="1">
      <c r="A123" s="11"/>
      <c r="B123" s="12"/>
      <c r="C123" s="13"/>
      <c r="D123" s="270"/>
      <c r="E123" s="270"/>
      <c r="F123" s="14"/>
    </row>
    <row r="124" spans="1:14" s="16" customFormat="1" ht="12.75">
      <c r="A124" s="11"/>
      <c r="B124" s="12"/>
      <c r="C124" s="13"/>
      <c r="D124" s="311" t="s">
        <v>323</v>
      </c>
      <c r="E124" s="311"/>
      <c r="F124" s="311"/>
      <c r="G124" s="311"/>
      <c r="H124" s="311" t="s">
        <v>171</v>
      </c>
      <c r="I124" s="311"/>
      <c r="J124" s="311"/>
      <c r="K124" s="311"/>
      <c r="L124" s="311"/>
      <c r="M124" s="312" t="s">
        <v>172</v>
      </c>
      <c r="N124" s="312"/>
    </row>
    <row r="125" spans="1:14" s="16" customFormat="1" ht="5.0999999999999996" customHeight="1">
      <c r="A125" s="11"/>
      <c r="B125" s="12"/>
      <c r="C125" s="13"/>
      <c r="D125" s="270"/>
      <c r="E125" s="270"/>
      <c r="F125" s="14"/>
    </row>
    <row r="126" spans="1:14" s="16" customFormat="1" ht="12.75">
      <c r="A126" s="11"/>
      <c r="B126" s="12"/>
      <c r="C126" s="13"/>
      <c r="D126" s="311" t="s">
        <v>324</v>
      </c>
      <c r="E126" s="311"/>
      <c r="F126" s="311"/>
      <c r="G126" s="311"/>
      <c r="H126" s="311" t="s">
        <v>173</v>
      </c>
      <c r="I126" s="311"/>
      <c r="J126" s="311"/>
      <c r="K126" s="311"/>
      <c r="L126" s="311"/>
      <c r="M126" s="312" t="s">
        <v>174</v>
      </c>
      <c r="N126" s="312"/>
    </row>
    <row r="127" spans="1:14" s="16" customFormat="1" ht="5.0999999999999996" customHeight="1">
      <c r="A127" s="11"/>
      <c r="B127" s="12"/>
      <c r="C127" s="13"/>
      <c r="D127" s="270"/>
      <c r="E127" s="270"/>
      <c r="F127" s="14"/>
    </row>
    <row r="128" spans="1:14" s="16" customFormat="1" ht="12.75">
      <c r="A128" s="11"/>
      <c r="B128" s="12"/>
      <c r="C128" s="13"/>
      <c r="D128" s="311" t="s">
        <v>325</v>
      </c>
      <c r="E128" s="311"/>
      <c r="F128" s="311"/>
      <c r="G128" s="311"/>
      <c r="H128" s="311" t="s">
        <v>175</v>
      </c>
      <c r="I128" s="311"/>
      <c r="J128" s="311"/>
      <c r="K128" s="311"/>
      <c r="L128" s="311"/>
      <c r="M128" s="312" t="s">
        <v>176</v>
      </c>
      <c r="N128" s="312"/>
    </row>
    <row r="129" spans="1:14" s="16" customFormat="1" ht="5.0999999999999996" customHeight="1">
      <c r="A129" s="11"/>
      <c r="B129" s="12"/>
      <c r="C129" s="13"/>
      <c r="D129" s="270"/>
      <c r="E129" s="270"/>
      <c r="F129" s="14"/>
    </row>
    <row r="130" spans="1:14" s="16" customFormat="1" ht="12.75">
      <c r="A130" s="11"/>
      <c r="B130" s="12"/>
      <c r="C130" s="13"/>
      <c r="D130" s="311" t="s">
        <v>326</v>
      </c>
      <c r="E130" s="311"/>
      <c r="F130" s="311"/>
      <c r="G130" s="311"/>
      <c r="H130" s="311" t="s">
        <v>177</v>
      </c>
      <c r="I130" s="311"/>
      <c r="J130" s="311"/>
      <c r="K130" s="311"/>
      <c r="L130" s="311"/>
      <c r="M130" s="312" t="s">
        <v>178</v>
      </c>
      <c r="N130" s="312"/>
    </row>
    <row r="131" spans="1:14" s="16" customFormat="1" ht="5.0999999999999996" customHeight="1">
      <c r="A131" s="11"/>
      <c r="B131" s="12"/>
      <c r="C131" s="13"/>
      <c r="D131" s="270"/>
      <c r="E131" s="270"/>
      <c r="F131" s="14"/>
    </row>
    <row r="132" spans="1:14" s="16" customFormat="1" ht="12.75">
      <c r="A132" s="11"/>
      <c r="B132" s="12"/>
      <c r="C132" s="13"/>
      <c r="D132" s="311" t="s">
        <v>327</v>
      </c>
      <c r="E132" s="311"/>
      <c r="F132" s="311"/>
      <c r="G132" s="311"/>
      <c r="H132" s="311" t="s">
        <v>179</v>
      </c>
      <c r="I132" s="311"/>
      <c r="J132" s="311"/>
      <c r="K132" s="311"/>
      <c r="L132" s="311"/>
      <c r="M132" s="312" t="s">
        <v>180</v>
      </c>
      <c r="N132" s="312"/>
    </row>
    <row r="133" spans="1:14" s="16" customFormat="1" ht="5.0999999999999996" customHeight="1">
      <c r="A133" s="11"/>
      <c r="B133" s="12"/>
      <c r="C133" s="13"/>
      <c r="D133" s="270"/>
      <c r="E133" s="270"/>
      <c r="F133" s="14"/>
    </row>
    <row r="134" spans="1:14" s="16" customFormat="1" ht="12.75">
      <c r="A134" s="11"/>
      <c r="B134" s="12"/>
      <c r="C134" s="13"/>
      <c r="D134" s="311" t="s">
        <v>328</v>
      </c>
      <c r="E134" s="311"/>
      <c r="F134" s="311"/>
      <c r="G134" s="311"/>
      <c r="H134" s="311" t="s">
        <v>181</v>
      </c>
      <c r="I134" s="311"/>
      <c r="J134" s="311"/>
      <c r="K134" s="311"/>
      <c r="L134" s="311"/>
      <c r="M134" s="312" t="s">
        <v>182</v>
      </c>
      <c r="N134" s="312"/>
    </row>
    <row r="135" spans="1:14" s="16" customFormat="1" ht="5.0999999999999996" customHeight="1">
      <c r="A135" s="11"/>
      <c r="B135" s="12"/>
      <c r="C135" s="13"/>
      <c r="D135" s="270"/>
      <c r="E135" s="270"/>
      <c r="F135" s="14"/>
    </row>
    <row r="136" spans="1:14" s="16" customFormat="1" ht="12.75">
      <c r="A136" s="11"/>
      <c r="B136" s="12"/>
      <c r="C136" s="13"/>
      <c r="D136" s="311" t="s">
        <v>183</v>
      </c>
      <c r="E136" s="311"/>
      <c r="F136" s="311"/>
      <c r="G136" s="311"/>
      <c r="H136" s="311" t="s">
        <v>184</v>
      </c>
      <c r="I136" s="311"/>
      <c r="J136" s="311"/>
      <c r="K136" s="311"/>
      <c r="L136" s="311"/>
      <c r="M136" s="312" t="s">
        <v>185</v>
      </c>
      <c r="N136" s="312"/>
    </row>
    <row r="137" spans="1:14" s="16" customFormat="1" ht="5.0999999999999996" customHeight="1">
      <c r="A137" s="11"/>
      <c r="B137" s="12"/>
      <c r="C137" s="273"/>
      <c r="D137" s="274"/>
      <c r="E137" s="274"/>
      <c r="F137" s="275"/>
      <c r="G137" s="18"/>
      <c r="H137" s="18"/>
      <c r="I137" s="18"/>
      <c r="J137" s="18"/>
      <c r="K137" s="18"/>
      <c r="L137" s="18"/>
      <c r="M137" s="18"/>
      <c r="N137" s="18"/>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17:G18"/>
    <mergeCell ref="H17:L18"/>
    <mergeCell ref="B3:F3"/>
    <mergeCell ref="M9:N9"/>
    <mergeCell ref="D13:G13"/>
    <mergeCell ref="H13:L13"/>
    <mergeCell ref="M13:N13"/>
    <mergeCell ref="D28:G28"/>
    <mergeCell ref="H28:L28"/>
    <mergeCell ref="M28:N28"/>
    <mergeCell ref="M30:N30"/>
    <mergeCell ref="D30:G31"/>
    <mergeCell ref="H30:L31"/>
    <mergeCell ref="D20:G20"/>
    <mergeCell ref="H20:L20"/>
    <mergeCell ref="M20:N20"/>
    <mergeCell ref="M23:N23"/>
    <mergeCell ref="D23:G24"/>
    <mergeCell ref="H23:L24"/>
    <mergeCell ref="D40:G40"/>
    <mergeCell ref="H40:L40"/>
    <mergeCell ref="M40:N40"/>
    <mergeCell ref="D42:G42"/>
    <mergeCell ref="H42:L42"/>
    <mergeCell ref="M42:N42"/>
    <mergeCell ref="M33:N33"/>
    <mergeCell ref="D33:G34"/>
    <mergeCell ref="H33:L34"/>
    <mergeCell ref="M38:N38"/>
    <mergeCell ref="D48:G48"/>
    <mergeCell ref="H48:L48"/>
    <mergeCell ref="M48:N48"/>
    <mergeCell ref="D50:G50"/>
    <mergeCell ref="H50:L50"/>
    <mergeCell ref="M50:N50"/>
    <mergeCell ref="D44:G44"/>
    <mergeCell ref="H44:L44"/>
    <mergeCell ref="M44:N44"/>
    <mergeCell ref="D46:G46"/>
    <mergeCell ref="H46:L46"/>
    <mergeCell ref="M46:N46"/>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horizontalDpi="300" verticalDpi="300" r:id="rId1"/>
  <headerFooter>
    <oddFooter>&amp;L&amp;F
&amp;A
Printed: &amp;T on &amp;D&amp;CPage &amp;P of &amp;N</oddFooter>
  </headerFooter>
  <rowBreaks count="2" manualBreakCount="2">
    <brk id="53" min="1" max="13" man="1"/>
    <brk id="105" min="1" max="13" man="1"/>
  </rowBreaks>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8" t="s">
        <v>199</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461</v>
      </c>
    </row>
    <row r="18" spans="3:3">
      <c r="C18" s="27" t="s">
        <v>386</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329</v>
      </c>
    </row>
    <row r="10" spans="3:11" ht="16.5">
      <c r="C10" s="28" t="s">
        <v>505</v>
      </c>
    </row>
    <row r="11" spans="3:11" ht="15">
      <c r="C11" s="2" t="str">
        <f ca="1">Model_Name</f>
        <v>SMA 2. Workbook Structure - Best Practice Model Example</v>
      </c>
    </row>
    <row r="12" spans="3:11">
      <c r="C12" s="279" t="s">
        <v>48</v>
      </c>
      <c r="D12" s="279"/>
      <c r="E12" s="279"/>
      <c r="F12" s="279"/>
      <c r="G12" s="279"/>
    </row>
    <row r="13" spans="3:11" ht="12.75">
      <c r="C13" s="12" t="s">
        <v>53</v>
      </c>
      <c r="D13" s="13" t="s">
        <v>102</v>
      </c>
      <c r="J13" s="25"/>
      <c r="K13" s="25"/>
    </row>
    <row r="14" spans="3:11">
      <c r="J14" s="25"/>
      <c r="K14" s="25"/>
    </row>
    <row r="15" spans="3:11">
      <c r="J15" s="25"/>
      <c r="K15" s="25"/>
    </row>
    <row r="16" spans="3:11">
      <c r="J16" s="25"/>
      <c r="K16" s="25"/>
    </row>
    <row r="17" spans="3:3">
      <c r="C17" s="26" t="s">
        <v>499</v>
      </c>
    </row>
    <row r="18" spans="3:3">
      <c r="C18" s="178" t="s">
        <v>500</v>
      </c>
    </row>
    <row r="19" spans="3:3">
      <c r="C19" s="178"/>
    </row>
    <row r="20" spans="3:3">
      <c r="C20" s="17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pane="topRight"/>
      <selection pane="bottomLeft"/>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329</v>
      </c>
    </row>
    <row r="2" spans="1:11" ht="15">
      <c r="B2" s="42" t="str">
        <f ca="1">Model_Name</f>
        <v>SMA 2. Workbook Structure - Best Practice Model Example</v>
      </c>
    </row>
    <row r="3" spans="1:11">
      <c r="B3" s="313" t="s">
        <v>48</v>
      </c>
      <c r="C3" s="313"/>
      <c r="D3" s="313"/>
      <c r="E3" s="313"/>
      <c r="F3" s="313"/>
    </row>
    <row r="4" spans="1:11" ht="12.75">
      <c r="A4" s="44" t="s">
        <v>51</v>
      </c>
      <c r="B4" s="45" t="s">
        <v>53</v>
      </c>
      <c r="C4" s="46" t="s">
        <v>102</v>
      </c>
      <c r="D4" s="80" t="s">
        <v>205</v>
      </c>
      <c r="E4" s="80" t="s">
        <v>206</v>
      </c>
      <c r="F4" s="47" t="s">
        <v>207</v>
      </c>
    </row>
    <row r="7" spans="1:11" ht="12.75">
      <c r="B7" s="48" t="s">
        <v>329</v>
      </c>
    </row>
    <row r="9" spans="1:11" ht="11.25">
      <c r="C9" s="49" t="s">
        <v>347</v>
      </c>
    </row>
    <row r="11" spans="1:11">
      <c r="D11" s="50" t="s">
        <v>348</v>
      </c>
      <c r="J11" s="314" t="s">
        <v>187</v>
      </c>
      <c r="K11" s="314"/>
    </row>
    <row r="12" spans="1:11">
      <c r="D12" s="50" t="s">
        <v>340</v>
      </c>
      <c r="J12" s="315" t="str">
        <f>Annual</f>
        <v>Annual</v>
      </c>
      <c r="K12" s="315"/>
    </row>
    <row r="13" spans="1:11" ht="15.75" customHeight="1">
      <c r="D13" s="50" t="s">
        <v>349</v>
      </c>
      <c r="J13" s="54">
        <v>31</v>
      </c>
      <c r="K13" s="54">
        <v>12</v>
      </c>
    </row>
    <row r="14" spans="1:11">
      <c r="D14" s="50" t="s">
        <v>350</v>
      </c>
      <c r="J14" s="317">
        <v>40179</v>
      </c>
      <c r="K14" s="318"/>
    </row>
    <row r="15" spans="1:11">
      <c r="D15" s="50" t="s">
        <v>351</v>
      </c>
      <c r="J15" s="319">
        <v>8</v>
      </c>
      <c r="K15" s="319"/>
    </row>
    <row r="16" spans="1:11" ht="10.5" hidden="1" customHeight="1" outlineLevel="2">
      <c r="D16" s="50" t="s">
        <v>352</v>
      </c>
      <c r="J16" s="315" t="str">
        <f>INDEX(LU_Period_Type_Names,MATCH(TS_Periodicity,LU_Periodicity,0))</f>
        <v>Year</v>
      </c>
      <c r="K16" s="315"/>
    </row>
    <row r="17" spans="3:11" ht="10.5" hidden="1" customHeight="1" outlineLevel="2">
      <c r="D17" s="50" t="s">
        <v>353</v>
      </c>
      <c r="J17" s="320" t="str">
        <f>CHOOSE(MATCH(TS_Periodicity,LU_Periodicity,0),Yr_Name,"H","Q","M")</f>
        <v>Year</v>
      </c>
      <c r="K17" s="320"/>
    </row>
    <row r="18" spans="3:11" ht="10.5" hidden="1" customHeight="1" outlineLevel="2">
      <c r="D18" s="50" t="s">
        <v>354</v>
      </c>
      <c r="J18" s="320" t="b">
        <f>OR(AND(DD_TS_Fin_YE_Day&gt;=28,DD_TS_Fin_YE_Mth=2),
DD_TS_Fin_YE_Day&gt;=DAY(EOMONTH(DATE(YEAR(TS_Start_Date),DD_TS_Fin_YE_Mth,1),0)))</f>
        <v>1</v>
      </c>
      <c r="K18" s="320"/>
    </row>
    <row r="19" spans="3:11" ht="10.5" hidden="1" customHeight="1" outlineLevel="2">
      <c r="D19" s="50" t="s">
        <v>355</v>
      </c>
      <c r="J19" s="316">
        <f>IF(TS_Mth_End,DATE(YEAR(TS_Per_1_FY_End_Date)-IF(TS_Per_1_FY_End_Date=EOMONTH(DATE(YEAR(TS_Per_1_FY_End_Date),Mths_In_Yr,1),0),0,1),MOD(MONTH(TS_Per_1_FY_End_Date),Mths_In_Yr)+1,1),
EDATE(TS_Per_1_FY_End_Date,-Mths_In_Yr)+1)</f>
        <v>40179</v>
      </c>
      <c r="K19" s="316"/>
    </row>
    <row r="20" spans="3:11" ht="10.5" hidden="1" customHeight="1" outlineLevel="2">
      <c r="D20" s="50" t="s">
        <v>356</v>
      </c>
      <c r="J20" s="316">
        <f>IF(TS_Mth_End,EOMONTH(DATE(YEAR(TS_Start_Date)+IF(MONTH(TS_Start_Date)&gt;DD_TS_Fin_YE_Mth,1,0),DD_TS_Fin_YE_Mth,1),0),
DATE(YEAR(TS_Start_Date)+IF(TS_Start_Date&gt;DATE(YEAR(TS_Start_Date),DD_TS_Fin_YE_Mth,DD_TS_Fin_YE_Day),1,0),DD_TS_Fin_YE_Mth,DD_TS_Fin_YE_Day))</f>
        <v>40543</v>
      </c>
      <c r="K20" s="316"/>
    </row>
    <row r="21" spans="3:11" ht="10.5" hidden="1" customHeight="1" outlineLevel="2">
      <c r="D21" s="50" t="s">
        <v>345</v>
      </c>
      <c r="J21" s="321">
        <f>INDEX(LU_Pers_In_Yr,MATCH(TS_Periodicity,LU_Periodicity,0))</f>
        <v>1</v>
      </c>
      <c r="K21" s="321"/>
    </row>
    <row r="22" spans="3:11" ht="10.5" hidden="1" customHeight="1" outlineLevel="2">
      <c r="D22" s="50" t="s">
        <v>357</v>
      </c>
      <c r="J22" s="321">
        <f>Mths_In_Yr/TS_Pers_In_Yr</f>
        <v>12</v>
      </c>
      <c r="K22" s="321"/>
    </row>
    <row r="23" spans="3:11" ht="10.5" hidden="1" customHeight="1" outlineLevel="2">
      <c r="D23" s="50" t="s">
        <v>358</v>
      </c>
      <c r="J23" s="321">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21"/>
    </row>
    <row r="24" spans="3:11" ht="10.5" hidden="1" customHeight="1" outlineLevel="2">
      <c r="D24" s="50" t="s">
        <v>359</v>
      </c>
      <c r="J24" s="316">
        <f>IF(TS_Mth_End,EOMONTH(EDATE(TS_Per_1_FY_Start_Date,(TS_Per_1_Number-1)*TS_Mths_In_Per-1),0)+1,
EDATE(TS_Per_1_FY_Start_Date,(TS_Per_1_Number-1)*TS_Mths_In_Per))</f>
        <v>40179</v>
      </c>
      <c r="K24" s="316"/>
    </row>
    <row r="25" spans="3:11" ht="10.5" hidden="1" customHeight="1" outlineLevel="2">
      <c r="D25" s="50" t="s">
        <v>186</v>
      </c>
      <c r="J25" s="316">
        <f>IF(TS_Mth_End,EOMONTH(EDATE(TS_Per_1_FY_Start_Date,TS_Per_1_Number*TS_Mths_In_Per-1),0),
EDATE(TS_Per_1_FY_Start_Date,TS_Per_1_Number*TS_Mths_In_Per)-1)</f>
        <v>40543</v>
      </c>
      <c r="K25" s="316"/>
    </row>
    <row r="26" spans="3:11" ht="15.75" customHeight="1" collapsed="1">
      <c r="D26" s="50" t="s">
        <v>87</v>
      </c>
      <c r="J26" s="322">
        <v>2</v>
      </c>
      <c r="K26" s="323"/>
    </row>
    <row r="27" spans="3:11" ht="10.5" hidden="1" customHeight="1" outlineLevel="2">
      <c r="D27" s="50" t="s">
        <v>360</v>
      </c>
      <c r="J27" s="315" t="str">
        <f>INDEX(LU_Denom,DD_TS_Denom)</f>
        <v>$Millions</v>
      </c>
      <c r="K27" s="315"/>
    </row>
    <row r="28" spans="3:11" collapsed="1"/>
    <row r="29" spans="3:11" ht="11.25">
      <c r="C29" s="49" t="s">
        <v>361</v>
      </c>
    </row>
    <row r="31" spans="3:11" ht="17.25" customHeight="1">
      <c r="D31" s="50" t="s">
        <v>362</v>
      </c>
      <c r="J31" s="322" t="b">
        <v>1</v>
      </c>
      <c r="K31" s="323"/>
    </row>
    <row r="32" spans="3:11">
      <c r="D32" s="50" t="s">
        <v>363</v>
      </c>
      <c r="J32" s="324">
        <v>3</v>
      </c>
      <c r="K32" s="325"/>
    </row>
    <row r="33" spans="3:11">
      <c r="D33" s="50" t="s">
        <v>364</v>
      </c>
      <c r="J33" s="324">
        <v>0</v>
      </c>
      <c r="K33" s="325"/>
    </row>
    <row r="34" spans="3:11" ht="10.5" hidden="1" customHeight="1" outlineLevel="2">
      <c r="D34" s="50" t="s">
        <v>365</v>
      </c>
      <c r="J34" s="326" t="s">
        <v>383</v>
      </c>
      <c r="K34" s="327"/>
    </row>
    <row r="35" spans="3:11" ht="10.5" hidden="1" customHeight="1" outlineLevel="2">
      <c r="D35" s="50" t="s">
        <v>366</v>
      </c>
      <c r="J35" s="326" t="s">
        <v>384</v>
      </c>
      <c r="K35" s="327"/>
    </row>
    <row r="36" spans="3:11" ht="10.5" hidden="1" customHeight="1" outlineLevel="2">
      <c r="D36" s="50" t="s">
        <v>367</v>
      </c>
      <c r="J36" s="326" t="s">
        <v>385</v>
      </c>
      <c r="K36" s="327"/>
    </row>
    <row r="37" spans="3:11" collapsed="1"/>
    <row r="38" spans="3:11" ht="11.25">
      <c r="C38" s="49" t="s">
        <v>368</v>
      </c>
    </row>
    <row r="40" spans="3:11" ht="15.75" customHeight="1">
      <c r="D40" s="50" t="s">
        <v>336</v>
      </c>
      <c r="J40" s="322">
        <v>2</v>
      </c>
      <c r="K40" s="323"/>
    </row>
    <row r="41" spans="3:11">
      <c r="D41" s="50" t="s">
        <v>369</v>
      </c>
      <c r="J41" s="324">
        <v>3</v>
      </c>
      <c r="K41" s="325"/>
    </row>
    <row r="42" spans="3:11">
      <c r="D42" s="50" t="s">
        <v>370</v>
      </c>
      <c r="J42" s="317">
        <v>41275</v>
      </c>
      <c r="K42" s="318"/>
    </row>
    <row r="43" spans="3:11" hidden="1" outlineLevel="2"/>
    <row r="44" spans="3:11" hidden="1" outlineLevel="2">
      <c r="D44" s="51" t="s">
        <v>371</v>
      </c>
    </row>
    <row r="45" spans="3:11" hidden="1" outlineLevel="2"/>
    <row r="46" spans="3:11" ht="10.5" hidden="1" customHeight="1" outlineLevel="2">
      <c r="E46" s="50" t="s">
        <v>372</v>
      </c>
      <c r="J46" s="316">
        <f>TS_Proj_Start_Date-1</f>
        <v>41274</v>
      </c>
      <c r="K46" s="316"/>
    </row>
    <row r="47" spans="3:11" ht="10.5" hidden="1" customHeight="1" outlineLevel="2">
      <c r="E47" s="50" t="s">
        <v>373</v>
      </c>
      <c r="J47" s="328">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28"/>
    </row>
    <row r="48" spans="3:11" ht="10.5" hidden="1" customHeight="1" outlineLevel="2">
      <c r="E48" s="50" t="s">
        <v>374</v>
      </c>
      <c r="J48" s="321">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21"/>
    </row>
    <row r="49" spans="3:11" ht="10.5" hidden="1" customHeight="1" outlineLevel="2">
      <c r="E49" s="50" t="s">
        <v>375</v>
      </c>
      <c r="J49" s="315"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15"/>
    </row>
    <row r="50" spans="3:11" hidden="1" outlineLevel="2"/>
    <row r="51" spans="3:11" hidden="1" outlineLevel="2">
      <c r="D51" s="51" t="s">
        <v>376</v>
      </c>
    </row>
    <row r="52" spans="3:11" hidden="1" outlineLevel="2"/>
    <row r="53" spans="3:11" ht="10.5" hidden="1" customHeight="1" outlineLevel="2">
      <c r="E53" s="50" t="s">
        <v>377</v>
      </c>
      <c r="J53" s="316">
        <f>IF(DD_TS_Data_Term_Basis=1,IF(TS_Mth_End,EOMONTH(EDATE(TS_Per_1_FY_Start_Date,(TS_Per_1_Number+TS_Data_Pers_Ass-1)*TS_Mths_In_Per-1),0),
EDATE(TS_Per_1_FY_Start_Date,(TS_Per_1_Number+TS_Data_Pers_Ass-1)*TS_Mths_In_Per)-1)+1,TS_Proj_Start_Date_Ass)</f>
        <v>41275</v>
      </c>
      <c r="K53" s="316"/>
    </row>
    <row r="54" spans="3:11" ht="10.5" hidden="1" customHeight="1" outlineLevel="2">
      <c r="E54" s="50" t="s">
        <v>355</v>
      </c>
      <c r="J54" s="316">
        <f>IF(TS_Mth_End,DATE(YEAR(TS_Proj_Per_1_FY_End_Date)-IF(TS_Proj_Per_1_FY_End_Date=EOMONTH(DATE(YEAR(TS_Proj_Per_1_FY_End_Date),Mths_In_Yr,1),0),0,1),MOD(MONTH(TS_Proj_Per_1_FY_End_Date),Mths_In_Yr)+1,1),
EDATE(TS_Proj_Per_1_FY_End_Date,-Mths_In_Yr)+1)</f>
        <v>41275</v>
      </c>
      <c r="K54" s="316"/>
    </row>
    <row r="55" spans="3:11" ht="10.5" hidden="1" customHeight="1" outlineLevel="2">
      <c r="E55" s="50" t="s">
        <v>356</v>
      </c>
      <c r="J55" s="316">
        <f>IF(TS_Mth_End,EOMONTH(DATE(YEAR(TS_Proj_Start_Date)+IF(MONTH(TS_Proj_Start_Date)&gt;DD_TS_Fin_YE_Mth,1,0),DD_TS_Fin_YE_Mth,1),0),
DATE(YEAR(TS_Proj_Start_Date)+IF(TS_Proj_Start_Date&gt;DATE(YEAR(TS_Proj_Start_Date),DD_TS_Fin_YE_Mth,DD_TS_Fin_YE_Day),1,0),DD_TS_Fin_YE_Mth,DD_TS_Fin_YE_Day))</f>
        <v>41639</v>
      </c>
      <c r="K55" s="316"/>
    </row>
    <row r="56" spans="3:11" ht="10.5" hidden="1" customHeight="1" outlineLevel="2">
      <c r="E56" s="50" t="s">
        <v>358</v>
      </c>
      <c r="J56" s="321">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21"/>
    </row>
    <row r="57" spans="3:11" ht="10.5" hidden="1" customHeight="1" outlineLevel="2">
      <c r="E57" s="50" t="s">
        <v>359</v>
      </c>
      <c r="J57" s="316">
        <f>IF(TS_Mth_End,EOMONTH(EDATE(TS_Proj_Per_1_FY_Start_Date,(TS_Proj_Per_1_Number-1)*TS_Mths_In_Per-1),0)+
1,EDATE(TS_Proj_Per_1_FY_Start_Date,(TS_Proj_Per_1_Number-1)*TS_Mths_In_Per))</f>
        <v>41275</v>
      </c>
      <c r="K57" s="316"/>
    </row>
    <row r="58" spans="3:11" ht="10.5" hidden="1" customHeight="1" outlineLevel="2">
      <c r="E58" s="50" t="s">
        <v>186</v>
      </c>
      <c r="J58" s="316">
        <f>IF(TS_Mth_End,EOMONTH(EDATE(TS_Proj_Per_1_FY_Start_Date,TS_Proj_Per_1_Number*TS_Mths_In_Per-1),0),
EDATE(TS_Proj_Per_1_FY_Start_Date,TS_Proj_Per_1_Number*TS_Mths_In_Per)-1)</f>
        <v>41639</v>
      </c>
      <c r="K58" s="316"/>
    </row>
    <row r="59" spans="3:11" collapsed="1"/>
    <row r="60" spans="3:11">
      <c r="C60" s="51" t="s">
        <v>203</v>
      </c>
    </row>
    <row r="61" spans="3:11">
      <c r="C61" s="52" t="s">
        <v>202</v>
      </c>
      <c r="D61" s="50" t="s">
        <v>378</v>
      </c>
    </row>
    <row r="62" spans="3:11">
      <c r="C62" s="52" t="s">
        <v>202</v>
      </c>
      <c r="D62" s="50" t="s">
        <v>379</v>
      </c>
    </row>
    <row r="63" spans="3:11">
      <c r="C63" s="52" t="s">
        <v>202</v>
      </c>
      <c r="D63" s="50" t="s">
        <v>380</v>
      </c>
    </row>
    <row r="64" spans="3:11">
      <c r="C64" s="52" t="s">
        <v>202</v>
      </c>
      <c r="D64" s="53" t="s">
        <v>381</v>
      </c>
    </row>
    <row r="65" spans="3:4">
      <c r="C65" s="52" t="s">
        <v>202</v>
      </c>
      <c r="D65" s="53" t="s">
        <v>382</v>
      </c>
    </row>
  </sheetData>
  <mergeCells count="36">
    <mergeCell ref="J56:K56"/>
    <mergeCell ref="J57:K57"/>
    <mergeCell ref="J58:K58"/>
    <mergeCell ref="J47:K47"/>
    <mergeCell ref="J48:K48"/>
    <mergeCell ref="J49:K49"/>
    <mergeCell ref="J53:K53"/>
    <mergeCell ref="J54:K54"/>
    <mergeCell ref="J55:K55"/>
    <mergeCell ref="J46:K46"/>
    <mergeCell ref="J26:K26"/>
    <mergeCell ref="J27:K27"/>
    <mergeCell ref="J31:K31"/>
    <mergeCell ref="J32:K32"/>
    <mergeCell ref="J33:K33"/>
    <mergeCell ref="J34:K34"/>
    <mergeCell ref="J35:K35"/>
    <mergeCell ref="J36:K36"/>
    <mergeCell ref="J40:K40"/>
    <mergeCell ref="J41:K41"/>
    <mergeCell ref="J42:K42"/>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8" t="s">
        <v>507</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499</v>
      </c>
    </row>
    <row r="18" spans="3:3">
      <c r="C18" s="183" t="s">
        <v>522</v>
      </c>
    </row>
    <row r="19" spans="3:3">
      <c r="C19" s="183"/>
    </row>
    <row r="20" spans="3:3">
      <c r="C20" s="183"/>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5"/>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2" width="12.83203125" style="182"/>
    <col min="13" max="17" width="12.83203125" style="182" customWidth="1"/>
    <col min="18" max="16384" width="12.83203125" style="182"/>
  </cols>
  <sheetData>
    <row r="1" spans="1:17" ht="18">
      <c r="B1" s="43" t="s">
        <v>525</v>
      </c>
    </row>
    <row r="2" spans="1:17" ht="15">
      <c r="B2" s="42" t="str">
        <f ca="1">Model_Name</f>
        <v>SMA 2. Workbook Structure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c r="B6" s="55"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47</v>
      </c>
    </row>
    <row r="18" spans="3:17">
      <c r="D18" s="66" t="s">
        <v>224</v>
      </c>
      <c r="J18" s="115">
        <v>125</v>
      </c>
      <c r="K18" s="115">
        <v>128.125</v>
      </c>
      <c r="L18" s="115">
        <v>131.328125</v>
      </c>
      <c r="M18" s="115">
        <v>134.611328125</v>
      </c>
      <c r="N18" s="115">
        <v>137.97661132812499</v>
      </c>
      <c r="O18" s="115">
        <v>141.4260266113281</v>
      </c>
      <c r="P18" s="115">
        <v>144.96167727661128</v>
      </c>
      <c r="Q18" s="115">
        <v>148.58571920852654</v>
      </c>
    </row>
    <row r="19" spans="3:17">
      <c r="D19" s="66" t="s">
        <v>463</v>
      </c>
      <c r="J19" s="115">
        <v>-25</v>
      </c>
      <c r="K19" s="115">
        <v>-25.624999999999996</v>
      </c>
      <c r="L19" s="115">
        <v>-26.265624999999993</v>
      </c>
      <c r="M19" s="115">
        <v>-26.922265624999991</v>
      </c>
      <c r="N19" s="115">
        <v>-27.59532226562499</v>
      </c>
      <c r="O19" s="115">
        <v>-28.285205322265611</v>
      </c>
      <c r="P19" s="115">
        <v>-28.992335455322248</v>
      </c>
      <c r="Q19" s="115">
        <v>-29.717143841705301</v>
      </c>
    </row>
    <row r="20" spans="3:17">
      <c r="J20" s="83"/>
      <c r="K20" s="83"/>
      <c r="L20" s="83"/>
      <c r="M20" s="83"/>
      <c r="N20" s="83"/>
      <c r="O20" s="83"/>
      <c r="P20" s="83"/>
      <c r="Q20" s="83"/>
    </row>
    <row r="21" spans="3:17" ht="11.25">
      <c r="C21" s="62" t="s">
        <v>472</v>
      </c>
      <c r="J21" s="193">
        <f t="shared" ref="J21:Q21" si="8">J18+J19</f>
        <v>100</v>
      </c>
      <c r="K21" s="193">
        <f t="shared" si="8"/>
        <v>102.5</v>
      </c>
      <c r="L21" s="193">
        <f t="shared" si="8"/>
        <v>105.0625</v>
      </c>
      <c r="M21" s="193">
        <f t="shared" si="8"/>
        <v>107.68906250000001</v>
      </c>
      <c r="N21" s="193">
        <f t="shared" si="8"/>
        <v>110.3812890625</v>
      </c>
      <c r="O21" s="193">
        <f t="shared" si="8"/>
        <v>113.14082128906249</v>
      </c>
      <c r="P21" s="193">
        <f t="shared" si="8"/>
        <v>115.96934182128904</v>
      </c>
      <c r="Q21" s="193">
        <f t="shared" si="8"/>
        <v>118.86857536682123</v>
      </c>
    </row>
    <row r="22" spans="3:17">
      <c r="J22" s="83"/>
      <c r="K22" s="83"/>
      <c r="L22" s="83"/>
      <c r="M22" s="83"/>
      <c r="N22" s="83"/>
      <c r="O22" s="83"/>
      <c r="P22" s="83"/>
      <c r="Q22" s="83"/>
    </row>
    <row r="23" spans="3:17">
      <c r="D23" s="66" t="s">
        <v>236</v>
      </c>
      <c r="J23" s="115">
        <v>-40</v>
      </c>
      <c r="K23" s="115">
        <v>-41</v>
      </c>
      <c r="L23" s="115">
        <v>-42.024999999999999</v>
      </c>
      <c r="M23" s="115">
        <v>-43.075624999999995</v>
      </c>
      <c r="N23" s="115">
        <v>-44.152515624999992</v>
      </c>
      <c r="O23" s="115">
        <v>-45.256328515624986</v>
      </c>
      <c r="P23" s="115">
        <v>-46.387736728515605</v>
      </c>
      <c r="Q23" s="115">
        <v>-47.547430146728495</v>
      </c>
    </row>
    <row r="24" spans="3:17">
      <c r="J24" s="83"/>
      <c r="K24" s="83"/>
      <c r="L24" s="83"/>
      <c r="M24" s="83"/>
      <c r="N24" s="83"/>
      <c r="O24" s="83"/>
      <c r="P24" s="83"/>
      <c r="Q24" s="83"/>
    </row>
    <row r="25" spans="3:17" ht="11.25">
      <c r="C25" s="62" t="s">
        <v>10</v>
      </c>
      <c r="J25" s="193">
        <f>J21+J23</f>
        <v>60</v>
      </c>
      <c r="K25" s="193">
        <f t="shared" ref="K25:Q25" si="9">K21+K23</f>
        <v>61.5</v>
      </c>
      <c r="L25" s="193">
        <f t="shared" si="9"/>
        <v>63.037500000000001</v>
      </c>
      <c r="M25" s="193">
        <f t="shared" si="9"/>
        <v>64.613437500000003</v>
      </c>
      <c r="N25" s="193">
        <f t="shared" si="9"/>
        <v>66.22877343750001</v>
      </c>
      <c r="O25" s="193">
        <f t="shared" si="9"/>
        <v>67.884492773437501</v>
      </c>
      <c r="P25" s="193">
        <f t="shared" si="9"/>
        <v>69.58160509277343</v>
      </c>
      <c r="Q25" s="193">
        <f t="shared" si="9"/>
        <v>71.321145220092745</v>
      </c>
    </row>
    <row r="26" spans="3:17">
      <c r="J26" s="83"/>
      <c r="K26" s="83"/>
      <c r="L26" s="83"/>
      <c r="M26" s="83"/>
      <c r="N26" s="83"/>
      <c r="O26" s="83"/>
      <c r="P26" s="83"/>
      <c r="Q26" s="83"/>
    </row>
    <row r="27" spans="3:17">
      <c r="E27" s="66" t="s">
        <v>414</v>
      </c>
      <c r="J27" s="115">
        <v>-13.5</v>
      </c>
      <c r="K27" s="115">
        <v>-13.837499999999999</v>
      </c>
      <c r="L27" s="115">
        <v>-14.183437499999997</v>
      </c>
      <c r="M27" s="115">
        <v>-14.538023437499994</v>
      </c>
      <c r="N27" s="115">
        <v>-14.901474023437492</v>
      </c>
      <c r="O27" s="115">
        <v>-15.274010874023428</v>
      </c>
      <c r="P27" s="115">
        <v>-15.655861145874013</v>
      </c>
      <c r="Q27" s="115">
        <v>-16.047257674520861</v>
      </c>
    </row>
    <row r="28" spans="3:17">
      <c r="E28" s="66" t="s">
        <v>471</v>
      </c>
      <c r="J28" s="198">
        <v>-0.625</v>
      </c>
      <c r="K28" s="198">
        <v>-0.640625</v>
      </c>
      <c r="L28" s="198">
        <v>-0.65664062499999998</v>
      </c>
      <c r="M28" s="198">
        <v>-0.67305664062499992</v>
      </c>
      <c r="N28" s="198">
        <v>-0.68988305664062488</v>
      </c>
      <c r="O28" s="198">
        <v>-0.70713013305664041</v>
      </c>
      <c r="P28" s="198">
        <v>-0.72480838638305634</v>
      </c>
      <c r="Q28" s="198">
        <v>-0.74292859604263273</v>
      </c>
    </row>
    <row r="29" spans="3:17">
      <c r="D29" s="66" t="s">
        <v>473</v>
      </c>
      <c r="J29" s="199">
        <f>SUM(J27:J28)</f>
        <v>-14.125</v>
      </c>
      <c r="K29" s="199">
        <f t="shared" ref="K29:Q29" si="10">SUM(K27:K28)</f>
        <v>-14.478124999999999</v>
      </c>
      <c r="L29" s="199">
        <f t="shared" si="10"/>
        <v>-14.840078124999996</v>
      </c>
      <c r="M29" s="199">
        <f t="shared" si="10"/>
        <v>-15.211080078124994</v>
      </c>
      <c r="N29" s="199">
        <f t="shared" si="10"/>
        <v>-15.591357080078117</v>
      </c>
      <c r="O29" s="199">
        <f t="shared" si="10"/>
        <v>-15.981141007080069</v>
      </c>
      <c r="P29" s="199">
        <f t="shared" si="10"/>
        <v>-16.38066953225707</v>
      </c>
      <c r="Q29" s="199">
        <f t="shared" si="10"/>
        <v>-16.790186270563492</v>
      </c>
    </row>
    <row r="30" spans="3:17">
      <c r="J30" s="83"/>
      <c r="K30" s="83"/>
      <c r="L30" s="83"/>
      <c r="M30" s="83"/>
      <c r="N30" s="83"/>
      <c r="O30" s="83"/>
      <c r="P30" s="83"/>
      <c r="Q30" s="83"/>
    </row>
    <row r="31" spans="3:17" ht="11.25">
      <c r="C31" s="62" t="s">
        <v>11</v>
      </c>
      <c r="J31" s="193">
        <f t="shared" ref="J31:Q31" si="11">J25+J29</f>
        <v>45.875</v>
      </c>
      <c r="K31" s="193">
        <f t="shared" si="11"/>
        <v>47.021875000000001</v>
      </c>
      <c r="L31" s="193">
        <f t="shared" si="11"/>
        <v>48.197421875000003</v>
      </c>
      <c r="M31" s="193">
        <f t="shared" si="11"/>
        <v>49.40235742187501</v>
      </c>
      <c r="N31" s="193">
        <f t="shared" si="11"/>
        <v>50.637416357421891</v>
      </c>
      <c r="O31" s="193">
        <f t="shared" si="11"/>
        <v>51.903351766357432</v>
      </c>
      <c r="P31" s="193">
        <f t="shared" si="11"/>
        <v>53.200935560516356</v>
      </c>
      <c r="Q31" s="193">
        <f t="shared" si="11"/>
        <v>54.53095894952925</v>
      </c>
    </row>
    <row r="32" spans="3:17">
      <c r="J32" s="83"/>
      <c r="K32" s="83"/>
      <c r="L32" s="83"/>
      <c r="M32" s="83"/>
      <c r="N32" s="83"/>
      <c r="O32" s="83"/>
      <c r="P32" s="83"/>
      <c r="Q32" s="83"/>
    </row>
    <row r="33" spans="3:17">
      <c r="D33" s="66" t="s">
        <v>250</v>
      </c>
      <c r="J33" s="115">
        <v>-3.25</v>
      </c>
      <c r="K33" s="115">
        <v>-3.25</v>
      </c>
      <c r="L33" s="115">
        <v>-3.25</v>
      </c>
      <c r="M33" s="115">
        <v>-3.25</v>
      </c>
      <c r="N33" s="115">
        <v>-3.4125000000000001</v>
      </c>
      <c r="O33" s="115">
        <v>-3.5750000000000002</v>
      </c>
      <c r="P33" s="115">
        <v>-3.5750000000000002</v>
      </c>
      <c r="Q33" s="115">
        <v>-3.5750000000000002</v>
      </c>
    </row>
    <row r="34" spans="3:17">
      <c r="J34" s="83"/>
      <c r="K34" s="83"/>
      <c r="L34" s="83"/>
      <c r="M34" s="83"/>
      <c r="N34" s="83"/>
      <c r="O34" s="83"/>
      <c r="P34" s="83"/>
      <c r="Q34" s="83"/>
    </row>
    <row r="35" spans="3:17" ht="11.25">
      <c r="C35" s="62" t="s">
        <v>12</v>
      </c>
      <c r="J35" s="193">
        <f t="shared" ref="J35:Q35" si="12">J31+J33</f>
        <v>42.625</v>
      </c>
      <c r="K35" s="193">
        <f t="shared" si="12"/>
        <v>43.771875000000001</v>
      </c>
      <c r="L35" s="193">
        <f t="shared" si="12"/>
        <v>44.947421875000003</v>
      </c>
      <c r="M35" s="193">
        <f t="shared" si="12"/>
        <v>46.15235742187501</v>
      </c>
      <c r="N35" s="193">
        <f t="shared" si="12"/>
        <v>47.22491635742189</v>
      </c>
      <c r="O35" s="193">
        <f t="shared" si="12"/>
        <v>48.328351766357429</v>
      </c>
      <c r="P35" s="193">
        <f t="shared" si="12"/>
        <v>49.625935560516353</v>
      </c>
      <c r="Q35" s="193">
        <f t="shared" si="12"/>
        <v>50.955958949529247</v>
      </c>
    </row>
    <row r="36" spans="3:17">
      <c r="J36" s="83"/>
      <c r="K36" s="83"/>
      <c r="L36" s="83"/>
      <c r="M36" s="83"/>
      <c r="N36" s="83"/>
      <c r="O36" s="83"/>
      <c r="P36" s="83"/>
      <c r="Q36" s="83"/>
    </row>
    <row r="37" spans="3:17">
      <c r="D37" s="66" t="s">
        <v>7</v>
      </c>
      <c r="J37" s="115">
        <v>-12.7875</v>
      </c>
      <c r="K37" s="115">
        <v>-13.131562499999999</v>
      </c>
      <c r="L37" s="115">
        <v>-13.4842265625</v>
      </c>
      <c r="M37" s="115">
        <v>-13.845707226562503</v>
      </c>
      <c r="N37" s="115">
        <v>-14.167474907226566</v>
      </c>
      <c r="O37" s="115">
        <v>-14.498505529907227</v>
      </c>
      <c r="P37" s="115">
        <v>-14.887780668154907</v>
      </c>
      <c r="Q37" s="115">
        <v>-15.286787684858773</v>
      </c>
    </row>
    <row r="38" spans="3:17">
      <c r="J38" s="83"/>
      <c r="K38" s="83"/>
      <c r="L38" s="83"/>
      <c r="M38" s="83"/>
      <c r="N38" s="83"/>
      <c r="O38" s="83"/>
      <c r="P38" s="83"/>
      <c r="Q38" s="83"/>
    </row>
    <row r="39" spans="3:17" ht="12.75" thickBot="1">
      <c r="C39" s="194" t="s">
        <v>13</v>
      </c>
      <c r="J39" s="195">
        <f t="shared" ref="J39:Q39" si="13">J35+J37</f>
        <v>29.837499999999999</v>
      </c>
      <c r="K39" s="195">
        <f t="shared" si="13"/>
        <v>30.6403125</v>
      </c>
      <c r="L39" s="195">
        <f t="shared" si="13"/>
        <v>31.463195312500005</v>
      </c>
      <c r="M39" s="195">
        <f t="shared" si="13"/>
        <v>32.306650195312507</v>
      </c>
      <c r="N39" s="195">
        <f t="shared" si="13"/>
        <v>33.057441450195327</v>
      </c>
      <c r="O39" s="195">
        <f t="shared" si="13"/>
        <v>33.829846236450202</v>
      </c>
      <c r="P39" s="195">
        <f t="shared" si="13"/>
        <v>34.73815489236145</v>
      </c>
      <c r="Q39" s="195">
        <f t="shared" si="13"/>
        <v>35.669171264670474</v>
      </c>
    </row>
    <row r="40" spans="3:17" ht="11.25" thickTop="1"/>
    <row r="41" spans="3:17" s="261" customFormat="1">
      <c r="C41" s="262" t="str">
        <f>"Go to "&amp;IS_Hist_TO!$B$1</f>
        <v>Go to Income Statement - Historical Outputs</v>
      </c>
      <c r="D41" s="263"/>
      <c r="E41" s="263"/>
      <c r="F41" s="263"/>
      <c r="G41" s="263"/>
      <c r="H41" s="263"/>
      <c r="I41" s="263"/>
    </row>
    <row r="42" spans="3:17" s="261" customFormat="1"/>
    <row r="43" spans="3:17">
      <c r="C43" s="63" t="s">
        <v>203</v>
      </c>
    </row>
    <row r="44" spans="3:17" s="188" customFormat="1">
      <c r="C44" s="82">
        <v>1</v>
      </c>
      <c r="D44" s="131" t="str">
        <f>"All assumptions are entered in "&amp;INDEX(LU_Denom,DD_TS_Denom)&amp;"."</f>
        <v>All assumptions are entered in $Millions.</v>
      </c>
    </row>
    <row r="45" spans="3:17">
      <c r="C45" s="82">
        <v>2</v>
      </c>
      <c r="D45" s="66" t="s">
        <v>527</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C41:I41" location="HL_Sheet_Main_29" tooltip="Go to Income Statement - Historical Outputs" display="HL_Sheet_Main_29"/>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 r:id="rId2"/>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8"/>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2" width="12.83203125" style="182"/>
    <col min="13" max="17" width="12.83203125" style="182" customWidth="1"/>
    <col min="18" max="16384" width="12.83203125" style="182"/>
  </cols>
  <sheetData>
    <row r="1" spans="1:17" ht="18">
      <c r="B1" s="43" t="s">
        <v>526</v>
      </c>
    </row>
    <row r="2" spans="1:17" ht="15">
      <c r="B2" s="42" t="str">
        <f ca="1">Model_Name</f>
        <v>SMA 2. Workbook Structure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c r="B6" s="55" t="str">
        <f>IF(TS_Data_Final_Stub,"Period End Date",IF(TS_Pers_In_Yr=1,"",TS_Per_Type_Name&amp;" Ending"))</f>
        <v/>
      </c>
      <c r="I6" s="205"/>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0</v>
      </c>
      <c r="I16" s="207" t="s">
        <v>531</v>
      </c>
    </row>
    <row r="17" spans="3:17">
      <c r="I17" s="208">
        <f>TS_Start_Date</f>
        <v>40179</v>
      </c>
    </row>
    <row r="18" spans="3:17" ht="11.25">
      <c r="C18" s="62" t="s">
        <v>30</v>
      </c>
    </row>
    <row r="20" spans="3:17" s="230" customFormat="1">
      <c r="E20" s="66" t="s">
        <v>279</v>
      </c>
      <c r="J20" s="232">
        <f>I22</f>
        <v>5</v>
      </c>
      <c r="K20" s="232">
        <f t="shared" ref="K20:Q20" si="8">J22</f>
        <v>7.5</v>
      </c>
      <c r="L20" s="232">
        <f t="shared" si="8"/>
        <v>12.148336900684967</v>
      </c>
      <c r="M20" s="232">
        <f t="shared" si="8"/>
        <v>24.635307976188827</v>
      </c>
      <c r="N20" s="232">
        <f t="shared" si="8"/>
        <v>37.449752117669078</v>
      </c>
      <c r="O20" s="232">
        <f t="shared" si="8"/>
        <v>55.514020321295732</v>
      </c>
      <c r="P20" s="232">
        <f t="shared" si="8"/>
        <v>68.879098355013014</v>
      </c>
      <c r="Q20" s="232">
        <f t="shared" si="8"/>
        <v>82.666715156101688</v>
      </c>
    </row>
    <row r="21" spans="3:17" s="230" customFormat="1">
      <c r="E21" s="66" t="s">
        <v>556</v>
      </c>
      <c r="J21" s="243">
        <f>J22-J20</f>
        <v>2.5</v>
      </c>
      <c r="K21" s="243">
        <f t="shared" ref="K21:Q21" si="9">K22-K20</f>
        <v>4.6483369006849671</v>
      </c>
      <c r="L21" s="243">
        <f t="shared" si="9"/>
        <v>12.48697107550386</v>
      </c>
      <c r="M21" s="243">
        <f t="shared" si="9"/>
        <v>12.814444141480251</v>
      </c>
      <c r="N21" s="243">
        <f t="shared" si="9"/>
        <v>18.064268203626654</v>
      </c>
      <c r="O21" s="243">
        <f t="shared" si="9"/>
        <v>13.365078033717282</v>
      </c>
      <c r="P21" s="243">
        <f t="shared" si="9"/>
        <v>13.787616801088674</v>
      </c>
      <c r="Q21" s="243">
        <f t="shared" si="9"/>
        <v>14.149085792645892</v>
      </c>
    </row>
    <row r="22" spans="3:17">
      <c r="D22" s="66" t="s">
        <v>488</v>
      </c>
      <c r="I22" s="115">
        <v>5</v>
      </c>
      <c r="J22" s="244">
        <v>7.5</v>
      </c>
      <c r="K22" s="244">
        <v>12.148336900684967</v>
      </c>
      <c r="L22" s="244">
        <v>24.635307976188827</v>
      </c>
      <c r="M22" s="244">
        <v>37.449752117669078</v>
      </c>
      <c r="N22" s="244">
        <v>55.514020321295732</v>
      </c>
      <c r="O22" s="244">
        <v>68.879098355013014</v>
      </c>
      <c r="P22" s="244">
        <v>82.666715156101688</v>
      </c>
      <c r="Q22" s="244">
        <v>96.815800948747579</v>
      </c>
    </row>
    <row r="23" spans="3:17">
      <c r="D23" s="66" t="s">
        <v>298</v>
      </c>
      <c r="I23" s="115">
        <v>10.273972602739725</v>
      </c>
      <c r="J23" s="115">
        <v>10.273972602739725</v>
      </c>
      <c r="K23" s="115">
        <v>10.530821917808218</v>
      </c>
      <c r="L23" s="115">
        <v>10.764600409836065</v>
      </c>
      <c r="M23" s="115">
        <v>11.063944777397261</v>
      </c>
      <c r="N23" s="115">
        <v>11.340543396832192</v>
      </c>
      <c r="O23" s="115">
        <v>11.624056981752995</v>
      </c>
      <c r="P23" s="115">
        <v>11.882104694804204</v>
      </c>
      <c r="Q23" s="115">
        <v>12.212524866454237</v>
      </c>
    </row>
    <row r="24" spans="3:17">
      <c r="D24" s="66" t="s">
        <v>482</v>
      </c>
      <c r="I24" s="115">
        <v>3</v>
      </c>
      <c r="J24" s="115">
        <v>3</v>
      </c>
      <c r="K24" s="115">
        <v>4</v>
      </c>
      <c r="L24" s="115">
        <v>5</v>
      </c>
      <c r="M24" s="115">
        <v>6</v>
      </c>
      <c r="N24" s="115">
        <v>7</v>
      </c>
      <c r="O24" s="115">
        <v>8</v>
      </c>
      <c r="P24" s="115">
        <v>9</v>
      </c>
      <c r="Q24" s="115">
        <v>10</v>
      </c>
    </row>
    <row r="25" spans="3:17">
      <c r="D25" s="135" t="str">
        <f>"Total "&amp;C18</f>
        <v>Total Current Assets</v>
      </c>
      <c r="I25" s="130">
        <f>I22+SUM(I23:I24)</f>
        <v>18.273972602739725</v>
      </c>
      <c r="J25" s="130">
        <f>J22+SUM(J23:J24)</f>
        <v>20.773972602739725</v>
      </c>
      <c r="K25" s="130">
        <f t="shared" ref="K25:Q25" si="10">K22+SUM(K23:K24)</f>
        <v>26.679158818493185</v>
      </c>
      <c r="L25" s="130">
        <f t="shared" si="10"/>
        <v>40.39990838602489</v>
      </c>
      <c r="M25" s="130">
        <f t="shared" si="10"/>
        <v>54.513696895066339</v>
      </c>
      <c r="N25" s="130">
        <f t="shared" si="10"/>
        <v>73.85456371812792</v>
      </c>
      <c r="O25" s="130">
        <f t="shared" si="10"/>
        <v>88.503155336766014</v>
      </c>
      <c r="P25" s="130">
        <f t="shared" si="10"/>
        <v>103.54881985090589</v>
      </c>
      <c r="Q25" s="130">
        <f t="shared" si="10"/>
        <v>119.02832581520181</v>
      </c>
    </row>
    <row r="26" spans="3:17">
      <c r="I26" s="83"/>
      <c r="J26" s="83"/>
      <c r="K26" s="83"/>
      <c r="L26" s="83"/>
      <c r="M26" s="83"/>
      <c r="N26" s="83"/>
      <c r="O26" s="83"/>
      <c r="P26" s="83"/>
      <c r="Q26" s="83"/>
    </row>
    <row r="27" spans="3:17" ht="11.25">
      <c r="C27" s="62" t="s">
        <v>31</v>
      </c>
      <c r="I27" s="83"/>
      <c r="J27" s="83"/>
      <c r="K27" s="83"/>
      <c r="L27" s="83"/>
      <c r="M27" s="83"/>
      <c r="N27" s="83"/>
      <c r="O27" s="83"/>
      <c r="P27" s="83"/>
      <c r="Q27" s="83"/>
    </row>
    <row r="28" spans="3:17">
      <c r="I28" s="83"/>
      <c r="J28" s="83"/>
      <c r="K28" s="83"/>
      <c r="L28" s="83"/>
      <c r="M28" s="83"/>
      <c r="N28" s="83"/>
      <c r="O28" s="83"/>
      <c r="P28" s="83"/>
      <c r="Q28" s="83"/>
    </row>
    <row r="29" spans="3:17">
      <c r="D29" s="66" t="s">
        <v>456</v>
      </c>
      <c r="I29" s="115">
        <v>146.5</v>
      </c>
      <c r="J29" s="115">
        <v>146.5</v>
      </c>
      <c r="K29" s="115">
        <v>148.03749999999999</v>
      </c>
      <c r="L29" s="115">
        <v>149.6134375</v>
      </c>
      <c r="M29" s="115">
        <v>151.22877343750002</v>
      </c>
      <c r="N29" s="115">
        <v>152.88449277343753</v>
      </c>
      <c r="O29" s="115">
        <v>154.58160509277349</v>
      </c>
      <c r="P29" s="115">
        <v>156.32114522009283</v>
      </c>
      <c r="Q29" s="115">
        <v>158.10417385059515</v>
      </c>
    </row>
    <row r="30" spans="3:17">
      <c r="D30" s="66" t="s">
        <v>474</v>
      </c>
      <c r="I30" s="115">
        <v>13.375</v>
      </c>
      <c r="J30" s="115">
        <v>13.375</v>
      </c>
      <c r="K30" s="115">
        <v>15.296875</v>
      </c>
      <c r="L30" s="115">
        <v>17.266796874999997</v>
      </c>
      <c r="M30" s="115">
        <v>19.285966796874998</v>
      </c>
      <c r="N30" s="115">
        <v>21.355615966796872</v>
      </c>
      <c r="O30" s="115">
        <v>23.477006365966794</v>
      </c>
      <c r="P30" s="115">
        <v>25.651431525115964</v>
      </c>
      <c r="Q30" s="115">
        <v>27.880217313243865</v>
      </c>
    </row>
    <row r="31" spans="3:17">
      <c r="D31" s="66" t="s">
        <v>3</v>
      </c>
      <c r="I31" s="115">
        <v>0</v>
      </c>
      <c r="J31" s="115">
        <v>0</v>
      </c>
      <c r="K31" s="115">
        <v>0</v>
      </c>
      <c r="L31" s="115">
        <v>0</v>
      </c>
      <c r="M31" s="115">
        <v>0</v>
      </c>
      <c r="N31" s="115">
        <v>0</v>
      </c>
      <c r="O31" s="115">
        <v>0</v>
      </c>
      <c r="P31" s="115">
        <v>0</v>
      </c>
      <c r="Q31" s="115">
        <v>0</v>
      </c>
    </row>
    <row r="32" spans="3:17">
      <c r="D32" s="66" t="s">
        <v>484</v>
      </c>
      <c r="I32" s="115">
        <v>4</v>
      </c>
      <c r="J32" s="115">
        <v>4</v>
      </c>
      <c r="K32" s="115">
        <v>5</v>
      </c>
      <c r="L32" s="115">
        <v>6</v>
      </c>
      <c r="M32" s="115">
        <v>7</v>
      </c>
      <c r="N32" s="115">
        <v>8</v>
      </c>
      <c r="O32" s="115">
        <v>9</v>
      </c>
      <c r="P32" s="115">
        <v>10</v>
      </c>
      <c r="Q32" s="115">
        <v>11</v>
      </c>
    </row>
    <row r="33" spans="3:17">
      <c r="D33" s="135" t="str">
        <f>"Total "&amp;C27</f>
        <v>Total Non-Current Assets</v>
      </c>
      <c r="I33" s="130">
        <f>SUM(I29:I32)</f>
        <v>163.875</v>
      </c>
      <c r="J33" s="130">
        <f>SUM(J29:J32)</f>
        <v>163.875</v>
      </c>
      <c r="K33" s="130">
        <f t="shared" ref="K33:Q33" si="11">SUM(K29:K32)</f>
        <v>168.33437499999999</v>
      </c>
      <c r="L33" s="130">
        <f t="shared" si="11"/>
        <v>172.88023437499999</v>
      </c>
      <c r="M33" s="130">
        <f t="shared" si="11"/>
        <v>177.51474023437501</v>
      </c>
      <c r="N33" s="130">
        <f t="shared" si="11"/>
        <v>182.2401087402344</v>
      </c>
      <c r="O33" s="130">
        <f t="shared" si="11"/>
        <v>187.05861145874027</v>
      </c>
      <c r="P33" s="130">
        <f t="shared" si="11"/>
        <v>191.97257674520878</v>
      </c>
      <c r="Q33" s="130">
        <f t="shared" si="11"/>
        <v>196.98439116383901</v>
      </c>
    </row>
    <row r="34" spans="3:17">
      <c r="I34" s="83"/>
      <c r="J34" s="83"/>
      <c r="K34" s="83"/>
      <c r="L34" s="83"/>
      <c r="M34" s="83"/>
      <c r="N34" s="83"/>
      <c r="O34" s="83"/>
      <c r="P34" s="83"/>
      <c r="Q34" s="83"/>
    </row>
    <row r="35" spans="3:17" ht="11.25">
      <c r="C35" s="62" t="s">
        <v>32</v>
      </c>
      <c r="I35" s="193">
        <f t="shared" ref="I35:Q35" si="12">I25+I33</f>
        <v>182.14897260273972</v>
      </c>
      <c r="J35" s="193">
        <f t="shared" si="12"/>
        <v>184.64897260273972</v>
      </c>
      <c r="K35" s="193">
        <f t="shared" si="12"/>
        <v>195.01353381849319</v>
      </c>
      <c r="L35" s="193">
        <f t="shared" si="12"/>
        <v>213.28014276102488</v>
      </c>
      <c r="M35" s="193">
        <f t="shared" si="12"/>
        <v>232.02843712944136</v>
      </c>
      <c r="N35" s="193">
        <f t="shared" si="12"/>
        <v>256.09467245836231</v>
      </c>
      <c r="O35" s="193">
        <f t="shared" si="12"/>
        <v>275.56176679550629</v>
      </c>
      <c r="P35" s="193">
        <f t="shared" si="12"/>
        <v>295.52139659611464</v>
      </c>
      <c r="Q35" s="193">
        <f t="shared" si="12"/>
        <v>316.01271697904082</v>
      </c>
    </row>
    <row r="36" spans="3:17">
      <c r="I36" s="83"/>
      <c r="J36" s="83"/>
      <c r="K36" s="83"/>
      <c r="L36" s="83"/>
      <c r="M36" s="83"/>
      <c r="N36" s="83"/>
      <c r="O36" s="83"/>
      <c r="P36" s="83"/>
      <c r="Q36" s="83"/>
    </row>
    <row r="37" spans="3:17" ht="11.25">
      <c r="C37" s="62" t="s">
        <v>33</v>
      </c>
      <c r="I37" s="83"/>
      <c r="J37" s="83"/>
      <c r="K37" s="83"/>
      <c r="L37" s="83"/>
      <c r="M37" s="83"/>
      <c r="N37" s="83"/>
      <c r="O37" s="83"/>
      <c r="P37" s="83"/>
      <c r="Q37" s="83"/>
    </row>
    <row r="38" spans="3:17">
      <c r="I38" s="83"/>
      <c r="J38" s="83"/>
      <c r="K38" s="83"/>
      <c r="L38" s="83"/>
      <c r="M38" s="83"/>
      <c r="N38" s="83"/>
      <c r="O38" s="83"/>
      <c r="P38" s="83"/>
      <c r="Q38" s="83"/>
    </row>
    <row r="39" spans="3:17">
      <c r="D39" s="66" t="s">
        <v>299</v>
      </c>
      <c r="I39" s="115">
        <v>8.0136986301369859</v>
      </c>
      <c r="J39" s="115">
        <v>8.0136986301369859</v>
      </c>
      <c r="K39" s="115">
        <v>8.2140410958904102</v>
      </c>
      <c r="L39" s="115">
        <v>8.3963883196721305</v>
      </c>
      <c r="M39" s="115">
        <v>8.629876926369862</v>
      </c>
      <c r="N39" s="115">
        <v>8.8456238495291082</v>
      </c>
      <c r="O39" s="115">
        <v>9.0667644457673351</v>
      </c>
      <c r="P39" s="115">
        <v>9.2680416619472759</v>
      </c>
      <c r="Q39" s="115">
        <v>9.5257693958343044</v>
      </c>
    </row>
    <row r="40" spans="3:17">
      <c r="D40" s="66" t="s">
        <v>8</v>
      </c>
      <c r="I40" s="115">
        <v>12.787500000000001</v>
      </c>
      <c r="J40" s="115">
        <v>12.787500000000001</v>
      </c>
      <c r="K40" s="115">
        <v>13.131562500000003</v>
      </c>
      <c r="L40" s="115">
        <v>13.484226562500004</v>
      </c>
      <c r="M40" s="115">
        <v>13.845707226562508</v>
      </c>
      <c r="N40" s="115">
        <v>14.16747490722657</v>
      </c>
      <c r="O40" s="115">
        <v>14.498505529907231</v>
      </c>
      <c r="P40" s="115">
        <v>14.88778066815491</v>
      </c>
      <c r="Q40" s="115">
        <v>15.286787684858776</v>
      </c>
    </row>
    <row r="41" spans="3:17">
      <c r="D41" s="66" t="s">
        <v>541</v>
      </c>
      <c r="I41" s="115">
        <v>0</v>
      </c>
      <c r="J41" s="115">
        <v>0</v>
      </c>
      <c r="K41" s="115">
        <v>0</v>
      </c>
      <c r="L41" s="115">
        <v>0</v>
      </c>
      <c r="M41" s="115">
        <v>0</v>
      </c>
      <c r="N41" s="115">
        <v>0</v>
      </c>
      <c r="O41" s="115">
        <v>0</v>
      </c>
      <c r="P41" s="115">
        <v>0</v>
      </c>
      <c r="Q41" s="115">
        <v>0</v>
      </c>
    </row>
    <row r="42" spans="3:17">
      <c r="D42" s="66" t="s">
        <v>34</v>
      </c>
      <c r="I42" s="115">
        <v>0</v>
      </c>
      <c r="J42" s="115">
        <v>0</v>
      </c>
      <c r="K42" s="115">
        <v>0</v>
      </c>
      <c r="L42" s="115">
        <v>0</v>
      </c>
      <c r="M42" s="115">
        <v>0</v>
      </c>
      <c r="N42" s="115">
        <v>0</v>
      </c>
      <c r="O42" s="115">
        <v>0</v>
      </c>
      <c r="P42" s="115">
        <v>0</v>
      </c>
      <c r="Q42" s="115">
        <v>0</v>
      </c>
    </row>
    <row r="43" spans="3:17">
      <c r="D43" s="66" t="s">
        <v>483</v>
      </c>
      <c r="I43" s="115">
        <v>5</v>
      </c>
      <c r="J43" s="115">
        <v>5</v>
      </c>
      <c r="K43" s="115">
        <v>6</v>
      </c>
      <c r="L43" s="115">
        <v>7</v>
      </c>
      <c r="M43" s="115">
        <v>8</v>
      </c>
      <c r="N43" s="115">
        <v>9</v>
      </c>
      <c r="O43" s="115">
        <v>10</v>
      </c>
      <c r="P43" s="115">
        <v>11</v>
      </c>
      <c r="Q43" s="115">
        <v>12</v>
      </c>
    </row>
    <row r="44" spans="3:17">
      <c r="D44" s="135" t="str">
        <f>"Total "&amp;C37</f>
        <v>Total Current Liabilities</v>
      </c>
      <c r="I44" s="130">
        <f>SUM(I39:I43)</f>
        <v>25.801198630136987</v>
      </c>
      <c r="J44" s="130">
        <f>SUM(J39:J43)</f>
        <v>25.801198630136987</v>
      </c>
      <c r="K44" s="130">
        <f t="shared" ref="K44:Q44" si="13">SUM(K39:K43)</f>
        <v>27.345603595890413</v>
      </c>
      <c r="L44" s="130">
        <f t="shared" si="13"/>
        <v>28.880614882172132</v>
      </c>
      <c r="M44" s="130">
        <f t="shared" si="13"/>
        <v>30.47558415293237</v>
      </c>
      <c r="N44" s="130">
        <f t="shared" si="13"/>
        <v>32.013098756755682</v>
      </c>
      <c r="O44" s="130">
        <f t="shared" si="13"/>
        <v>33.565269975674568</v>
      </c>
      <c r="P44" s="130">
        <f t="shared" si="13"/>
        <v>35.155822330102183</v>
      </c>
      <c r="Q44" s="130">
        <f t="shared" si="13"/>
        <v>36.812557080693082</v>
      </c>
    </row>
    <row r="45" spans="3:17">
      <c r="I45" s="83"/>
      <c r="J45" s="83"/>
      <c r="K45" s="83"/>
      <c r="L45" s="83"/>
      <c r="M45" s="83"/>
      <c r="N45" s="83"/>
      <c r="O45" s="83"/>
      <c r="P45" s="83"/>
      <c r="Q45" s="83"/>
    </row>
    <row r="46" spans="3:17" ht="11.25">
      <c r="C46" s="62" t="s">
        <v>35</v>
      </c>
      <c r="I46" s="83"/>
      <c r="J46" s="83"/>
      <c r="K46" s="83"/>
      <c r="L46" s="83"/>
      <c r="M46" s="83"/>
      <c r="N46" s="83"/>
      <c r="O46" s="83"/>
      <c r="P46" s="83"/>
      <c r="Q46" s="83"/>
    </row>
    <row r="47" spans="3:17">
      <c r="I47" s="83"/>
      <c r="J47" s="83"/>
      <c r="K47" s="83"/>
      <c r="L47" s="83"/>
      <c r="M47" s="83"/>
      <c r="N47" s="83"/>
      <c r="O47" s="83"/>
      <c r="P47" s="83"/>
      <c r="Q47" s="83"/>
    </row>
    <row r="48" spans="3:17">
      <c r="D48" s="66" t="s">
        <v>254</v>
      </c>
      <c r="I48" s="115">
        <v>50</v>
      </c>
      <c r="J48" s="115">
        <v>50</v>
      </c>
      <c r="K48" s="115">
        <v>50</v>
      </c>
      <c r="L48" s="115">
        <v>50</v>
      </c>
      <c r="M48" s="115">
        <v>50</v>
      </c>
      <c r="N48" s="115">
        <v>55</v>
      </c>
      <c r="O48" s="115">
        <v>55</v>
      </c>
      <c r="P48" s="115">
        <v>55</v>
      </c>
      <c r="Q48" s="115">
        <v>55</v>
      </c>
    </row>
    <row r="49" spans="3:17">
      <c r="D49" s="66" t="s">
        <v>4</v>
      </c>
      <c r="I49" s="115">
        <v>0</v>
      </c>
      <c r="J49" s="115">
        <v>0</v>
      </c>
      <c r="K49" s="115">
        <v>0</v>
      </c>
      <c r="L49" s="115">
        <v>0</v>
      </c>
      <c r="M49" s="115">
        <v>0</v>
      </c>
      <c r="N49" s="115">
        <v>0</v>
      </c>
      <c r="O49" s="115">
        <v>0</v>
      </c>
      <c r="P49" s="115">
        <v>0</v>
      </c>
      <c r="Q49" s="115">
        <v>0</v>
      </c>
    </row>
    <row r="50" spans="3:17">
      <c r="D50" s="66" t="s">
        <v>485</v>
      </c>
      <c r="I50" s="115">
        <v>6</v>
      </c>
      <c r="J50" s="115">
        <v>6</v>
      </c>
      <c r="K50" s="115">
        <v>7</v>
      </c>
      <c r="L50" s="115">
        <v>8</v>
      </c>
      <c r="M50" s="115">
        <v>9</v>
      </c>
      <c r="N50" s="115">
        <v>10</v>
      </c>
      <c r="O50" s="115">
        <v>11</v>
      </c>
      <c r="P50" s="115">
        <v>12</v>
      </c>
      <c r="Q50" s="115">
        <v>13</v>
      </c>
    </row>
    <row r="51" spans="3:17">
      <c r="D51" s="135" t="str">
        <f>"Total "&amp;C46</f>
        <v>Total Non-Current Liabilities</v>
      </c>
      <c r="I51" s="130">
        <f>SUM(I48:I50)</f>
        <v>56</v>
      </c>
      <c r="J51" s="130">
        <f>SUM(J48:J50)</f>
        <v>56</v>
      </c>
      <c r="K51" s="130">
        <f t="shared" ref="K51:Q51" si="14">SUM(K48:K50)</f>
        <v>57</v>
      </c>
      <c r="L51" s="130">
        <f t="shared" si="14"/>
        <v>58</v>
      </c>
      <c r="M51" s="130">
        <f t="shared" si="14"/>
        <v>59</v>
      </c>
      <c r="N51" s="130">
        <f t="shared" si="14"/>
        <v>65</v>
      </c>
      <c r="O51" s="130">
        <f t="shared" si="14"/>
        <v>66</v>
      </c>
      <c r="P51" s="130">
        <f t="shared" si="14"/>
        <v>67</v>
      </c>
      <c r="Q51" s="130">
        <f t="shared" si="14"/>
        <v>68</v>
      </c>
    </row>
    <row r="52" spans="3:17">
      <c r="I52" s="83"/>
      <c r="J52" s="83"/>
      <c r="K52" s="83"/>
      <c r="L52" s="83"/>
      <c r="M52" s="83"/>
      <c r="N52" s="83"/>
      <c r="O52" s="83"/>
      <c r="P52" s="83"/>
      <c r="Q52" s="83"/>
    </row>
    <row r="53" spans="3:17" ht="11.25">
      <c r="C53" s="62" t="s">
        <v>36</v>
      </c>
      <c r="I53" s="193">
        <f t="shared" ref="I53:Q53" si="15">I44+I51</f>
        <v>81.80119863013698</v>
      </c>
      <c r="J53" s="193">
        <f t="shared" si="15"/>
        <v>81.80119863013698</v>
      </c>
      <c r="K53" s="193">
        <f t="shared" si="15"/>
        <v>84.34560359589041</v>
      </c>
      <c r="L53" s="193">
        <f t="shared" si="15"/>
        <v>86.880614882172125</v>
      </c>
      <c r="M53" s="193">
        <f t="shared" si="15"/>
        <v>89.47558415293237</v>
      </c>
      <c r="N53" s="193">
        <f t="shared" si="15"/>
        <v>97.013098756755682</v>
      </c>
      <c r="O53" s="193">
        <f t="shared" si="15"/>
        <v>99.565269975674568</v>
      </c>
      <c r="P53" s="193">
        <f t="shared" si="15"/>
        <v>102.15582233010218</v>
      </c>
      <c r="Q53" s="193">
        <f t="shared" si="15"/>
        <v>104.81255708069308</v>
      </c>
    </row>
    <row r="54" spans="3:17">
      <c r="I54" s="83"/>
      <c r="J54" s="83"/>
      <c r="K54" s="83"/>
      <c r="L54" s="83"/>
      <c r="M54" s="83"/>
      <c r="N54" s="83"/>
      <c r="O54" s="83"/>
      <c r="P54" s="83"/>
      <c r="Q54" s="83"/>
    </row>
    <row r="55" spans="3:17" ht="12" thickBot="1">
      <c r="C55" s="62" t="s">
        <v>37</v>
      </c>
      <c r="I55" s="195">
        <f t="shared" ref="I55:Q55" si="16">I35-I53</f>
        <v>100.34777397260274</v>
      </c>
      <c r="J55" s="195">
        <f t="shared" si="16"/>
        <v>102.84777397260274</v>
      </c>
      <c r="K55" s="195">
        <f t="shared" si="16"/>
        <v>110.66793022260278</v>
      </c>
      <c r="L55" s="195">
        <f t="shared" si="16"/>
        <v>126.39952787885275</v>
      </c>
      <c r="M55" s="195">
        <f t="shared" si="16"/>
        <v>142.55285297650897</v>
      </c>
      <c r="N55" s="195">
        <f t="shared" si="16"/>
        <v>159.08157370160663</v>
      </c>
      <c r="O55" s="195">
        <f t="shared" si="16"/>
        <v>175.99649681983172</v>
      </c>
      <c r="P55" s="195">
        <f t="shared" si="16"/>
        <v>193.36557426601246</v>
      </c>
      <c r="Q55" s="195">
        <f t="shared" si="16"/>
        <v>211.20015989834775</v>
      </c>
    </row>
    <row r="56" spans="3:17" ht="11.25" thickTop="1">
      <c r="I56" s="83"/>
      <c r="J56" s="83"/>
      <c r="K56" s="83"/>
      <c r="L56" s="83"/>
      <c r="M56" s="83"/>
      <c r="N56" s="83"/>
      <c r="O56" s="83"/>
      <c r="P56" s="83"/>
      <c r="Q56" s="83"/>
    </row>
    <row r="57" spans="3:17" ht="11.25">
      <c r="C57" s="62" t="s">
        <v>38</v>
      </c>
      <c r="I57" s="83"/>
      <c r="J57" s="83"/>
      <c r="K57" s="83"/>
      <c r="L57" s="83"/>
      <c r="M57" s="83"/>
      <c r="N57" s="83"/>
      <c r="O57" s="83"/>
      <c r="P57" s="83"/>
      <c r="Q57" s="83"/>
    </row>
    <row r="58" spans="3:17">
      <c r="I58" s="83"/>
      <c r="J58" s="83"/>
      <c r="K58" s="83"/>
      <c r="L58" s="83"/>
      <c r="M58" s="83"/>
      <c r="N58" s="83"/>
      <c r="O58" s="83"/>
      <c r="P58" s="83"/>
      <c r="Q58" s="83"/>
    </row>
    <row r="59" spans="3:17">
      <c r="D59" s="66" t="s">
        <v>271</v>
      </c>
      <c r="I59" s="115">
        <v>75</v>
      </c>
      <c r="J59" s="115">
        <v>75</v>
      </c>
      <c r="K59" s="115">
        <v>75</v>
      </c>
      <c r="L59" s="115">
        <v>75</v>
      </c>
      <c r="M59" s="115">
        <v>75</v>
      </c>
      <c r="N59" s="115">
        <v>75</v>
      </c>
      <c r="O59" s="115">
        <v>75</v>
      </c>
      <c r="P59" s="115">
        <v>75</v>
      </c>
      <c r="Q59" s="115">
        <v>75</v>
      </c>
    </row>
    <row r="60" spans="3:17" s="205" customFormat="1">
      <c r="D60" s="66" t="s">
        <v>557</v>
      </c>
      <c r="I60" s="115">
        <v>5</v>
      </c>
      <c r="J60" s="115">
        <v>5</v>
      </c>
      <c r="K60" s="115">
        <v>5</v>
      </c>
      <c r="L60" s="115">
        <v>5</v>
      </c>
      <c r="M60" s="115">
        <v>5</v>
      </c>
      <c r="N60" s="115">
        <v>5</v>
      </c>
      <c r="O60" s="115">
        <v>5</v>
      </c>
      <c r="P60" s="115">
        <v>5</v>
      </c>
      <c r="Q60" s="115">
        <v>5</v>
      </c>
    </row>
    <row r="61" spans="3:17" s="205" customFormat="1">
      <c r="E61" s="66" t="s">
        <v>532</v>
      </c>
      <c r="I61" s="115">
        <v>20.347773972602738</v>
      </c>
      <c r="J61" s="115">
        <v>22.847773972602738</v>
      </c>
      <c r="K61" s="115">
        <v>30.667930222602777</v>
      </c>
      <c r="L61" s="115">
        <v>46.399527878852751</v>
      </c>
      <c r="M61" s="115">
        <v>62.552852976508973</v>
      </c>
      <c r="N61" s="115">
        <v>79.081573701606629</v>
      </c>
      <c r="O61" s="115">
        <v>95.996496819831719</v>
      </c>
      <c r="P61" s="115">
        <v>113.36557426601246</v>
      </c>
      <c r="Q61" s="115">
        <v>131.20015989834775</v>
      </c>
    </row>
    <row r="62" spans="3:17">
      <c r="E62" s="66" t="s">
        <v>533</v>
      </c>
      <c r="I62" s="240">
        <f>I55-SUM(I59:I61)</f>
        <v>0</v>
      </c>
      <c r="J62" s="240">
        <f t="shared" ref="J62:Q62" si="17">J55-SUM(J59:J61)</f>
        <v>0</v>
      </c>
      <c r="K62" s="240">
        <f t="shared" si="17"/>
        <v>0</v>
      </c>
      <c r="L62" s="240">
        <f t="shared" si="17"/>
        <v>0</v>
      </c>
      <c r="M62" s="240">
        <f t="shared" si="17"/>
        <v>0</v>
      </c>
      <c r="N62" s="240">
        <f t="shared" si="17"/>
        <v>0</v>
      </c>
      <c r="O62" s="240">
        <f t="shared" si="17"/>
        <v>0</v>
      </c>
      <c r="P62" s="240">
        <f t="shared" si="17"/>
        <v>0</v>
      </c>
      <c r="Q62" s="240">
        <f t="shared" si="17"/>
        <v>0</v>
      </c>
    </row>
    <row r="63" spans="3:17">
      <c r="D63" s="66" t="s">
        <v>39</v>
      </c>
      <c r="I63" s="232">
        <f>SUM(I61:I62)</f>
        <v>20.347773972602738</v>
      </c>
      <c r="J63" s="232">
        <f t="shared" ref="J63:Q63" si="18">SUM(J61:J62)</f>
        <v>22.847773972602738</v>
      </c>
      <c r="K63" s="232">
        <f t="shared" si="18"/>
        <v>30.667930222602777</v>
      </c>
      <c r="L63" s="232">
        <f t="shared" si="18"/>
        <v>46.399527878852751</v>
      </c>
      <c r="M63" s="232">
        <f t="shared" si="18"/>
        <v>62.552852976508973</v>
      </c>
      <c r="N63" s="232">
        <f t="shared" si="18"/>
        <v>79.081573701606629</v>
      </c>
      <c r="O63" s="232">
        <f t="shared" si="18"/>
        <v>95.996496819831719</v>
      </c>
      <c r="P63" s="232">
        <f t="shared" si="18"/>
        <v>113.36557426601246</v>
      </c>
      <c r="Q63" s="232">
        <f t="shared" si="18"/>
        <v>131.20015989834775</v>
      </c>
    </row>
    <row r="64" spans="3:17">
      <c r="I64" s="83"/>
      <c r="J64" s="83"/>
      <c r="K64" s="83"/>
      <c r="L64" s="83"/>
      <c r="M64" s="83"/>
      <c r="N64" s="83"/>
      <c r="O64" s="83"/>
      <c r="P64" s="83"/>
      <c r="Q64" s="83"/>
    </row>
    <row r="65" spans="3:17" ht="12" thickBot="1">
      <c r="C65" s="129" t="str">
        <f>"Total "&amp;C57</f>
        <v>Total Equity</v>
      </c>
      <c r="I65" s="195">
        <f>I59+I60+I63</f>
        <v>100.34777397260274</v>
      </c>
      <c r="J65" s="195">
        <f t="shared" ref="J65:Q65" si="19">J59+J60+J63</f>
        <v>102.84777397260274</v>
      </c>
      <c r="K65" s="195">
        <f t="shared" si="19"/>
        <v>110.66793022260278</v>
      </c>
      <c r="L65" s="195">
        <f t="shared" si="19"/>
        <v>126.39952787885275</v>
      </c>
      <c r="M65" s="195">
        <f t="shared" si="19"/>
        <v>142.55285297650897</v>
      </c>
      <c r="N65" s="195">
        <f t="shared" si="19"/>
        <v>159.08157370160663</v>
      </c>
      <c r="O65" s="195">
        <f t="shared" si="19"/>
        <v>175.99649681983172</v>
      </c>
      <c r="P65" s="195">
        <f t="shared" si="19"/>
        <v>193.36557426601246</v>
      </c>
      <c r="Q65" s="195">
        <f t="shared" si="19"/>
        <v>211.20015989834775</v>
      </c>
    </row>
    <row r="66" spans="3:17" s="205" customFormat="1" ht="12" thickTop="1">
      <c r="C66" s="129"/>
      <c r="I66" s="242"/>
      <c r="J66" s="242"/>
      <c r="K66" s="242"/>
      <c r="L66" s="242"/>
      <c r="M66" s="242"/>
      <c r="N66" s="242"/>
      <c r="O66" s="242"/>
      <c r="P66" s="242"/>
      <c r="Q66" s="242"/>
    </row>
    <row r="67" spans="3:17" s="205" customFormat="1" hidden="1" outlineLevel="2">
      <c r="D67" s="66" t="s">
        <v>564</v>
      </c>
      <c r="I67" s="200">
        <f>IF(ISERROR(I55-I65),1,0)</f>
        <v>0</v>
      </c>
      <c r="J67" s="200">
        <f t="shared" ref="J67:Q67" si="20">IF(ISERROR(J55-J65),1,0)</f>
        <v>0</v>
      </c>
      <c r="K67" s="200">
        <f t="shared" si="20"/>
        <v>0</v>
      </c>
      <c r="L67" s="200">
        <f t="shared" si="20"/>
        <v>0</v>
      </c>
      <c r="M67" s="200">
        <f t="shared" si="20"/>
        <v>0</v>
      </c>
      <c r="N67" s="200">
        <f t="shared" si="20"/>
        <v>0</v>
      </c>
      <c r="O67" s="200">
        <f t="shared" si="20"/>
        <v>0</v>
      </c>
      <c r="P67" s="200">
        <f t="shared" si="20"/>
        <v>0</v>
      </c>
      <c r="Q67" s="200">
        <f t="shared" si="20"/>
        <v>0</v>
      </c>
    </row>
    <row r="68" spans="3:17" s="205" customFormat="1" hidden="1" outlineLevel="2">
      <c r="D68" s="66" t="s">
        <v>529</v>
      </c>
      <c r="I68" s="201">
        <f>IF(I67&lt;&gt;0,0,(ROUND(I55-I65,5)&lt;&gt;0)*1)</f>
        <v>0</v>
      </c>
      <c r="J68" s="201">
        <f t="shared" ref="J68:Q68" si="21">IF(J67&lt;&gt;0,0,(ROUND(J55-J65,5)&lt;&gt;0)*1)</f>
        <v>0</v>
      </c>
      <c r="K68" s="201">
        <f t="shared" si="21"/>
        <v>0</v>
      </c>
      <c r="L68" s="201">
        <f t="shared" si="21"/>
        <v>0</v>
      </c>
      <c r="M68" s="201">
        <f t="shared" si="21"/>
        <v>0</v>
      </c>
      <c r="N68" s="201">
        <f t="shared" si="21"/>
        <v>0</v>
      </c>
      <c r="O68" s="201">
        <f t="shared" si="21"/>
        <v>0</v>
      </c>
      <c r="P68" s="201">
        <f t="shared" si="21"/>
        <v>0</v>
      </c>
      <c r="Q68" s="201">
        <f t="shared" si="21"/>
        <v>0</v>
      </c>
    </row>
    <row r="69" spans="3:17" s="205" customFormat="1" collapsed="1">
      <c r="C69" s="66" t="s">
        <v>415</v>
      </c>
      <c r="H69" s="196">
        <f>IF(ISERROR(SUM(I69:Q69)),0,MIN(SUM(I69:Q69),1))</f>
        <v>0</v>
      </c>
      <c r="I69" s="197">
        <f t="shared" ref="I69:Q69" si="22">MIN(SUM(I67:I68),1)</f>
        <v>0</v>
      </c>
      <c r="J69" s="197">
        <f t="shared" si="22"/>
        <v>0</v>
      </c>
      <c r="K69" s="197">
        <f t="shared" si="22"/>
        <v>0</v>
      </c>
      <c r="L69" s="197">
        <f t="shared" si="22"/>
        <v>0</v>
      </c>
      <c r="M69" s="197">
        <f t="shared" si="22"/>
        <v>0</v>
      </c>
      <c r="N69" s="197">
        <f t="shared" si="22"/>
        <v>0</v>
      </c>
      <c r="O69" s="197">
        <f t="shared" si="22"/>
        <v>0</v>
      </c>
      <c r="P69" s="197">
        <f t="shared" si="22"/>
        <v>0</v>
      </c>
      <c r="Q69" s="197">
        <f t="shared" si="22"/>
        <v>0</v>
      </c>
    </row>
    <row r="70" spans="3:17" hidden="1" outlineLevel="2">
      <c r="J70" s="230"/>
      <c r="K70" s="230"/>
      <c r="L70" s="230"/>
      <c r="M70" s="230"/>
      <c r="N70" s="230"/>
      <c r="O70" s="230"/>
      <c r="P70" s="230"/>
      <c r="Q70" s="230"/>
    </row>
    <row r="71" spans="3:17" hidden="1" outlineLevel="2">
      <c r="D71" s="66" t="s">
        <v>528</v>
      </c>
      <c r="I71" s="247">
        <f>IF(I$12=0,0,IF(ISERROR(I22),1,IF(ROUND(I22,5)&lt;0,1,0)))</f>
        <v>0</v>
      </c>
      <c r="J71" s="247">
        <f>IF(J$12=0,0,IF(ISERROR(J22),1,IF(ROUND(J22,5)&lt;0,1,0)))</f>
        <v>0</v>
      </c>
      <c r="K71" s="247">
        <f t="shared" ref="K71:Q71" si="23">IF(K$12=0,0,IF(ISERROR(K22),1,IF(ROUND(K22,5)&lt;0,1,0)))</f>
        <v>0</v>
      </c>
      <c r="L71" s="247">
        <f t="shared" si="23"/>
        <v>0</v>
      </c>
      <c r="M71" s="247">
        <f t="shared" si="23"/>
        <v>0</v>
      </c>
      <c r="N71" s="247">
        <f t="shared" si="23"/>
        <v>0</v>
      </c>
      <c r="O71" s="247">
        <f t="shared" si="23"/>
        <v>0</v>
      </c>
      <c r="P71" s="247">
        <f t="shared" si="23"/>
        <v>0</v>
      </c>
      <c r="Q71" s="247">
        <f t="shared" si="23"/>
        <v>0</v>
      </c>
    </row>
    <row r="72" spans="3:17" hidden="1" outlineLevel="2">
      <c r="D72" s="66" t="s">
        <v>529</v>
      </c>
      <c r="I72" s="201">
        <f>IF(OR(ISBLANK(I$12),I$12&lt;&gt;0),IF(ISERROR(I62),1,IF(ROUND(I62,5)&lt;&gt;0,1,0)),0)</f>
        <v>0</v>
      </c>
      <c r="J72" s="201">
        <f t="shared" ref="J72:Q72" si="24">IF(OR(ISBLANK(J$12),J$12&lt;&gt;0),IF(ISERROR(J62),1,IF(ROUND(J62,5)&lt;&gt;0,1,0)),0)</f>
        <v>0</v>
      </c>
      <c r="K72" s="201">
        <f t="shared" si="24"/>
        <v>0</v>
      </c>
      <c r="L72" s="201">
        <f t="shared" si="24"/>
        <v>0</v>
      </c>
      <c r="M72" s="201">
        <f t="shared" si="24"/>
        <v>0</v>
      </c>
      <c r="N72" s="201">
        <f t="shared" si="24"/>
        <v>0</v>
      </c>
      <c r="O72" s="201">
        <f t="shared" si="24"/>
        <v>0</v>
      </c>
      <c r="P72" s="201">
        <f t="shared" si="24"/>
        <v>0</v>
      </c>
      <c r="Q72" s="201">
        <f t="shared" si="24"/>
        <v>0</v>
      </c>
    </row>
    <row r="73" spans="3:17" collapsed="1">
      <c r="C73" s="66" t="s">
        <v>530</v>
      </c>
      <c r="H73" s="196">
        <f>IF(ISERROR(SUM(I73:Q73)),0,MIN(SUM(I73:Q73),1))</f>
        <v>0</v>
      </c>
      <c r="I73" s="197">
        <f t="shared" ref="I73:Q73" si="25">MIN(SUM(I71:I72),1)</f>
        <v>0</v>
      </c>
      <c r="J73" s="197">
        <f t="shared" si="25"/>
        <v>0</v>
      </c>
      <c r="K73" s="197">
        <f t="shared" si="25"/>
        <v>0</v>
      </c>
      <c r="L73" s="197">
        <f t="shared" si="25"/>
        <v>0</v>
      </c>
      <c r="M73" s="197">
        <f t="shared" si="25"/>
        <v>0</v>
      </c>
      <c r="N73" s="197">
        <f t="shared" si="25"/>
        <v>0</v>
      </c>
      <c r="O73" s="197">
        <f t="shared" si="25"/>
        <v>0</v>
      </c>
      <c r="P73" s="197">
        <f t="shared" si="25"/>
        <v>0</v>
      </c>
      <c r="Q73" s="197">
        <f t="shared" si="25"/>
        <v>0</v>
      </c>
    </row>
    <row r="75" spans="3:17" s="261" customFormat="1">
      <c r="C75" s="262" t="str">
        <f>"Go to "&amp;Alt_Chk_2_Hdg</f>
        <v>Go to Balance Sheet - Historical Outputs</v>
      </c>
      <c r="D75" s="263"/>
      <c r="E75" s="263"/>
      <c r="F75" s="263"/>
      <c r="G75" s="263"/>
      <c r="H75" s="263"/>
    </row>
    <row r="76" spans="3:17" s="261" customFormat="1"/>
    <row r="77" spans="3:17">
      <c r="C77" s="63" t="s">
        <v>203</v>
      </c>
      <c r="D77" s="188"/>
    </row>
    <row r="78" spans="3:17">
      <c r="C78" s="82">
        <v>1</v>
      </c>
      <c r="D78" s="131"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C75:H75" location="HL_Sheet_Main_30" tooltip="Go to Balance Sheet - Historical Outputs" display="HL_Sheet_Main_30"/>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6"/>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12" width="12.83203125" style="182"/>
    <col min="13" max="17" width="12.83203125" style="182" customWidth="1"/>
    <col min="18" max="16384" width="12.83203125" style="182"/>
  </cols>
  <sheetData>
    <row r="1" spans="1:17" ht="18">
      <c r="B1" s="43" t="s">
        <v>596</v>
      </c>
    </row>
    <row r="2" spans="1:17" ht="15">
      <c r="B2" s="42" t="str">
        <f ca="1">Model_Name</f>
        <v>SMA 2. Workbook Structure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c r="B6" s="55"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45</v>
      </c>
    </row>
    <row r="18" spans="3:17" ht="11.25">
      <c r="C18" s="62" t="s">
        <v>15</v>
      </c>
    </row>
    <row r="20" spans="3:17">
      <c r="E20" s="66" t="s">
        <v>224</v>
      </c>
      <c r="J20" s="115">
        <v>125</v>
      </c>
      <c r="K20" s="115">
        <v>128.125</v>
      </c>
      <c r="L20" s="115">
        <v>131.328125</v>
      </c>
      <c r="M20" s="115">
        <v>134.611328125</v>
      </c>
      <c r="N20" s="115">
        <v>137.97661132812499</v>
      </c>
      <c r="O20" s="115">
        <v>141.4260266113281</v>
      </c>
      <c r="P20" s="115">
        <v>144.96167727661128</v>
      </c>
      <c r="Q20" s="115">
        <v>148.58571920852654</v>
      </c>
    </row>
    <row r="21" spans="3:17">
      <c r="E21" s="66" t="s">
        <v>421</v>
      </c>
      <c r="J21" s="198">
        <v>10.726027397260282</v>
      </c>
      <c r="K21" s="198">
        <v>-0.25684931506850717</v>
      </c>
      <c r="L21" s="198">
        <v>-0.23377849202785228</v>
      </c>
      <c r="M21" s="198">
        <v>-0.29934436756118998</v>
      </c>
      <c r="N21" s="198">
        <v>-0.27659861943493524</v>
      </c>
      <c r="O21" s="198">
        <v>-0.28351358492079726</v>
      </c>
      <c r="P21" s="198">
        <v>-0.25804771305121221</v>
      </c>
      <c r="Q21" s="198">
        <v>-0.3304201716500188</v>
      </c>
    </row>
    <row r="22" spans="3:17">
      <c r="D22" s="66" t="s">
        <v>238</v>
      </c>
      <c r="J22" s="202">
        <f>J20+J21</f>
        <v>135.72602739726028</v>
      </c>
      <c r="K22" s="202">
        <f t="shared" ref="K22:Q22" si="8">K20+K21</f>
        <v>127.86815068493149</v>
      </c>
      <c r="L22" s="202">
        <f t="shared" si="8"/>
        <v>131.09434650797215</v>
      </c>
      <c r="M22" s="202">
        <f t="shared" si="8"/>
        <v>134.31198375743881</v>
      </c>
      <c r="N22" s="202">
        <f t="shared" si="8"/>
        <v>137.70001270869005</v>
      </c>
      <c r="O22" s="202">
        <f t="shared" si="8"/>
        <v>141.1425130264073</v>
      </c>
      <c r="P22" s="202">
        <f t="shared" si="8"/>
        <v>144.70362956356007</v>
      </c>
      <c r="Q22" s="202">
        <f t="shared" si="8"/>
        <v>148.25529903687652</v>
      </c>
    </row>
    <row r="23" spans="3:17">
      <c r="D23" s="192"/>
      <c r="E23" s="66" t="s">
        <v>463</v>
      </c>
      <c r="J23" s="115">
        <v>-25</v>
      </c>
      <c r="K23" s="115">
        <v>-25.624999999999996</v>
      </c>
      <c r="L23" s="115">
        <v>-26.265624999999993</v>
      </c>
      <c r="M23" s="115">
        <v>-26.922265624999991</v>
      </c>
      <c r="N23" s="115">
        <v>-27.59532226562499</v>
      </c>
      <c r="O23" s="115">
        <v>-28.285205322265611</v>
      </c>
      <c r="P23" s="115">
        <v>-28.992335455322248</v>
      </c>
      <c r="Q23" s="115">
        <v>-29.717143841705301</v>
      </c>
    </row>
    <row r="24" spans="3:17">
      <c r="D24" s="192"/>
      <c r="E24" s="66" t="s">
        <v>236</v>
      </c>
      <c r="J24" s="115">
        <v>-40</v>
      </c>
      <c r="K24" s="115">
        <v>-41</v>
      </c>
      <c r="L24" s="115">
        <v>-42.024999999999999</v>
      </c>
      <c r="M24" s="115">
        <v>-43.075624999999995</v>
      </c>
      <c r="N24" s="115">
        <v>-44.152515624999992</v>
      </c>
      <c r="O24" s="115">
        <v>-45.256328515624986</v>
      </c>
      <c r="P24" s="115">
        <v>-46.387736728515605</v>
      </c>
      <c r="Q24" s="115">
        <v>-47.547430146728495</v>
      </c>
    </row>
    <row r="25" spans="3:17">
      <c r="D25" s="192"/>
      <c r="E25" s="66" t="s">
        <v>422</v>
      </c>
      <c r="J25" s="198">
        <v>-7.9863013698630141</v>
      </c>
      <c r="K25" s="198">
        <v>0.20034246575342252</v>
      </c>
      <c r="L25" s="198">
        <v>0.18234722378171853</v>
      </c>
      <c r="M25" s="198">
        <v>0.2334886066977333</v>
      </c>
      <c r="N25" s="198">
        <v>0.21574692315924437</v>
      </c>
      <c r="O25" s="198">
        <v>0.22114059623822868</v>
      </c>
      <c r="P25" s="198">
        <v>0.20127721617994609</v>
      </c>
      <c r="Q25" s="198">
        <v>0.25772773388702319</v>
      </c>
    </row>
    <row r="26" spans="3:17">
      <c r="D26" s="66" t="s">
        <v>243</v>
      </c>
      <c r="J26" s="202">
        <f>SUM(J23:J25)</f>
        <v>-72.986301369863014</v>
      </c>
      <c r="K26" s="202">
        <f t="shared" ref="K26:Q26" si="9">SUM(K23:K25)</f>
        <v>-66.424657534246577</v>
      </c>
      <c r="L26" s="202">
        <f t="shared" si="9"/>
        <v>-68.108277776218273</v>
      </c>
      <c r="M26" s="202">
        <f t="shared" si="9"/>
        <v>-69.764402018302249</v>
      </c>
      <c r="N26" s="202">
        <f t="shared" si="9"/>
        <v>-71.532090967465734</v>
      </c>
      <c r="O26" s="202">
        <f t="shared" si="9"/>
        <v>-73.320393241652368</v>
      </c>
      <c r="P26" s="202">
        <f t="shared" si="9"/>
        <v>-75.178794967657907</v>
      </c>
      <c r="Q26" s="202">
        <f t="shared" si="9"/>
        <v>-77.006846254546772</v>
      </c>
    </row>
    <row r="27" spans="3:17">
      <c r="D27" s="66" t="s">
        <v>257</v>
      </c>
      <c r="J27" s="115">
        <v>-3.25</v>
      </c>
      <c r="K27" s="115">
        <v>-3.25</v>
      </c>
      <c r="L27" s="115">
        <v>-3.25</v>
      </c>
      <c r="M27" s="115">
        <v>-3.25</v>
      </c>
      <c r="N27" s="115">
        <v>-3.4125000000000001</v>
      </c>
      <c r="O27" s="115">
        <v>-3.5750000000000002</v>
      </c>
      <c r="P27" s="115">
        <v>-3.5750000000000002</v>
      </c>
      <c r="Q27" s="115">
        <v>-3.5750000000000002</v>
      </c>
    </row>
    <row r="28" spans="3:17">
      <c r="D28" s="66" t="s">
        <v>477</v>
      </c>
      <c r="J28" s="115">
        <v>-3.5</v>
      </c>
      <c r="K28" s="115">
        <v>-12.7875</v>
      </c>
      <c r="L28" s="115">
        <v>-13.131562499999999</v>
      </c>
      <c r="M28" s="115">
        <v>-13.4842265625</v>
      </c>
      <c r="N28" s="115">
        <v>-13.845707226562503</v>
      </c>
      <c r="O28" s="115">
        <v>-14.167474907226566</v>
      </c>
      <c r="P28" s="115">
        <v>-14.498505529907227</v>
      </c>
      <c r="Q28" s="115">
        <v>-14.887780668154907</v>
      </c>
    </row>
    <row r="29" spans="3:17">
      <c r="D29" s="66" t="s">
        <v>493</v>
      </c>
      <c r="J29" s="115">
        <v>-1</v>
      </c>
      <c r="K29" s="115">
        <v>-1</v>
      </c>
      <c r="L29" s="115">
        <v>-1</v>
      </c>
      <c r="M29" s="115">
        <v>-1</v>
      </c>
      <c r="N29" s="115">
        <v>-1</v>
      </c>
      <c r="O29" s="115">
        <v>-1</v>
      </c>
      <c r="P29" s="115">
        <v>-1</v>
      </c>
      <c r="Q29" s="115">
        <v>-1</v>
      </c>
    </row>
    <row r="30" spans="3:17">
      <c r="D30" s="66" t="s">
        <v>494</v>
      </c>
      <c r="J30" s="115">
        <v>1</v>
      </c>
      <c r="K30" s="115">
        <v>1</v>
      </c>
      <c r="L30" s="115">
        <v>1</v>
      </c>
      <c r="M30" s="115">
        <v>1</v>
      </c>
      <c r="N30" s="115">
        <v>1</v>
      </c>
      <c r="O30" s="115">
        <v>1</v>
      </c>
      <c r="P30" s="115">
        <v>1</v>
      </c>
      <c r="Q30" s="115">
        <v>1</v>
      </c>
    </row>
    <row r="31" spans="3:17">
      <c r="D31" s="135" t="str">
        <f>"Net "&amp;C18</f>
        <v>Net Cash Flow from Operating Activities</v>
      </c>
      <c r="J31" s="193">
        <f>J22+J26+SUM(J27:J30)</f>
        <v>55.989726027397268</v>
      </c>
      <c r="K31" s="193">
        <f t="shared" ref="K31:Q31" si="10">K22+K26+SUM(K27:K30)</f>
        <v>45.405993150684914</v>
      </c>
      <c r="L31" s="193">
        <f t="shared" si="10"/>
        <v>46.604506231753874</v>
      </c>
      <c r="M31" s="193">
        <f t="shared" si="10"/>
        <v>47.813355176636563</v>
      </c>
      <c r="N31" s="193">
        <f t="shared" si="10"/>
        <v>48.909714514661815</v>
      </c>
      <c r="O31" s="193">
        <f t="shared" si="10"/>
        <v>50.079644877528366</v>
      </c>
      <c r="P31" s="193">
        <f t="shared" si="10"/>
        <v>51.45132906599494</v>
      </c>
      <c r="Q31" s="193">
        <f t="shared" si="10"/>
        <v>52.785672114174844</v>
      </c>
    </row>
    <row r="32" spans="3:17">
      <c r="J32" s="83"/>
      <c r="K32" s="83"/>
      <c r="L32" s="83"/>
      <c r="M32" s="83"/>
      <c r="N32" s="83"/>
      <c r="O32" s="83"/>
      <c r="P32" s="83"/>
      <c r="Q32" s="83"/>
    </row>
    <row r="33" spans="3:17" ht="11.25">
      <c r="C33" s="62" t="s">
        <v>16</v>
      </c>
      <c r="J33" s="83"/>
      <c r="K33" s="83"/>
      <c r="L33" s="83"/>
      <c r="M33" s="83"/>
      <c r="N33" s="83"/>
      <c r="O33" s="83"/>
      <c r="P33" s="83"/>
      <c r="Q33" s="83"/>
    </row>
    <row r="34" spans="3:17">
      <c r="J34" s="83"/>
      <c r="K34" s="83"/>
      <c r="L34" s="83"/>
      <c r="M34" s="83"/>
      <c r="N34" s="83"/>
      <c r="O34" s="83"/>
      <c r="P34" s="83"/>
      <c r="Q34" s="83"/>
    </row>
    <row r="35" spans="3:17">
      <c r="D35" s="66" t="s">
        <v>467</v>
      </c>
      <c r="J35" s="115">
        <v>-15</v>
      </c>
      <c r="K35" s="115">
        <v>-15.374999999999998</v>
      </c>
      <c r="L35" s="115">
        <v>-15.759374999999997</v>
      </c>
      <c r="M35" s="115">
        <v>-16.153359374999994</v>
      </c>
      <c r="N35" s="115">
        <v>-16.557193359374992</v>
      </c>
      <c r="O35" s="115">
        <v>-16.971123193359364</v>
      </c>
      <c r="P35" s="115">
        <v>-17.395401273193347</v>
      </c>
      <c r="Q35" s="115">
        <v>-17.830286305023179</v>
      </c>
    </row>
    <row r="36" spans="3:17">
      <c r="D36" s="66" t="s">
        <v>468</v>
      </c>
      <c r="J36" s="115">
        <v>-2.5</v>
      </c>
      <c r="K36" s="115">
        <v>-2.5625</v>
      </c>
      <c r="L36" s="115">
        <v>-2.6265624999999999</v>
      </c>
      <c r="M36" s="115">
        <v>-2.6922265624999997</v>
      </c>
      <c r="N36" s="115">
        <v>-2.7595322265624995</v>
      </c>
      <c r="O36" s="115">
        <v>-2.8285205322265616</v>
      </c>
      <c r="P36" s="115">
        <v>-2.8992335455322253</v>
      </c>
      <c r="Q36" s="115">
        <v>-2.9717143841705309</v>
      </c>
    </row>
    <row r="37" spans="3:17">
      <c r="D37" s="66" t="s">
        <v>495</v>
      </c>
      <c r="J37" s="115">
        <v>-1</v>
      </c>
      <c r="K37" s="115">
        <v>-1</v>
      </c>
      <c r="L37" s="115">
        <v>-1</v>
      </c>
      <c r="M37" s="115">
        <v>-1</v>
      </c>
      <c r="N37" s="115">
        <v>-1</v>
      </c>
      <c r="O37" s="115">
        <v>-1</v>
      </c>
      <c r="P37" s="115">
        <v>-1</v>
      </c>
      <c r="Q37" s="115">
        <v>-1</v>
      </c>
    </row>
    <row r="38" spans="3:17">
      <c r="D38" s="66" t="s">
        <v>496</v>
      </c>
      <c r="J38" s="115">
        <v>1</v>
      </c>
      <c r="K38" s="115">
        <v>1</v>
      </c>
      <c r="L38" s="115">
        <v>1</v>
      </c>
      <c r="M38" s="115">
        <v>1</v>
      </c>
      <c r="N38" s="115">
        <v>1</v>
      </c>
      <c r="O38" s="115">
        <v>1</v>
      </c>
      <c r="P38" s="115">
        <v>1</v>
      </c>
      <c r="Q38" s="115">
        <v>1</v>
      </c>
    </row>
    <row r="39" spans="3:17">
      <c r="D39" s="135" t="str">
        <f>"Net "&amp;C33</f>
        <v>Net Cash Flow from Investing Activities</v>
      </c>
      <c r="J39" s="193">
        <f>SUM(J35:J38)</f>
        <v>-17.5</v>
      </c>
      <c r="K39" s="193">
        <f t="shared" ref="K39:Q39" si="11">SUM(K35:K38)</f>
        <v>-17.9375</v>
      </c>
      <c r="L39" s="193">
        <f t="shared" si="11"/>
        <v>-18.385937499999997</v>
      </c>
      <c r="M39" s="193">
        <f t="shared" si="11"/>
        <v>-18.845585937499994</v>
      </c>
      <c r="N39" s="193">
        <f t="shared" si="11"/>
        <v>-19.31672558593749</v>
      </c>
      <c r="O39" s="193">
        <f t="shared" si="11"/>
        <v>-19.799643725585927</v>
      </c>
      <c r="P39" s="193">
        <f t="shared" si="11"/>
        <v>-20.294634818725573</v>
      </c>
      <c r="Q39" s="193">
        <f t="shared" si="11"/>
        <v>-20.802000689193711</v>
      </c>
    </row>
    <row r="40" spans="3:17">
      <c r="J40" s="83"/>
      <c r="K40" s="83"/>
      <c r="L40" s="83"/>
      <c r="M40" s="83"/>
      <c r="N40" s="83"/>
      <c r="O40" s="83"/>
      <c r="P40" s="83"/>
      <c r="Q40" s="83"/>
    </row>
    <row r="41" spans="3:17" ht="11.25">
      <c r="C41" s="62" t="s">
        <v>17</v>
      </c>
      <c r="J41" s="83"/>
      <c r="K41" s="83"/>
      <c r="L41" s="83"/>
      <c r="M41" s="83"/>
      <c r="N41" s="83"/>
      <c r="O41" s="83"/>
      <c r="P41" s="83"/>
      <c r="Q41" s="83"/>
    </row>
    <row r="42" spans="3:17">
      <c r="J42" s="83"/>
      <c r="K42" s="83"/>
      <c r="L42" s="83"/>
      <c r="M42" s="83"/>
      <c r="N42" s="83"/>
      <c r="O42" s="83"/>
      <c r="P42" s="83"/>
      <c r="Q42" s="83"/>
    </row>
    <row r="43" spans="3:17">
      <c r="D43" s="66" t="s">
        <v>246</v>
      </c>
      <c r="J43" s="115">
        <v>0</v>
      </c>
      <c r="K43" s="115">
        <v>0</v>
      </c>
      <c r="L43" s="115">
        <v>0</v>
      </c>
      <c r="M43" s="115">
        <v>0</v>
      </c>
      <c r="N43" s="115">
        <v>50</v>
      </c>
      <c r="O43" s="115">
        <v>0</v>
      </c>
      <c r="P43" s="115">
        <v>0</v>
      </c>
      <c r="Q43" s="115">
        <v>0</v>
      </c>
    </row>
    <row r="44" spans="3:17">
      <c r="D44" s="66" t="s">
        <v>247</v>
      </c>
      <c r="J44" s="115">
        <v>0</v>
      </c>
      <c r="K44" s="115">
        <v>0</v>
      </c>
      <c r="L44" s="115">
        <v>0</v>
      </c>
      <c r="M44" s="115">
        <v>0</v>
      </c>
      <c r="N44" s="115">
        <v>-45</v>
      </c>
      <c r="O44" s="115">
        <v>0</v>
      </c>
      <c r="P44" s="115">
        <v>0</v>
      </c>
      <c r="Q44" s="115">
        <v>0</v>
      </c>
    </row>
    <row r="45" spans="3:17">
      <c r="D45" s="66" t="s">
        <v>264</v>
      </c>
      <c r="J45" s="115">
        <v>0</v>
      </c>
      <c r="K45" s="115">
        <v>0</v>
      </c>
      <c r="L45" s="115">
        <v>0</v>
      </c>
      <c r="M45" s="115">
        <v>0</v>
      </c>
      <c r="N45" s="115">
        <v>0</v>
      </c>
      <c r="O45" s="115">
        <v>0</v>
      </c>
      <c r="P45" s="115">
        <v>0</v>
      </c>
      <c r="Q45" s="115">
        <v>0</v>
      </c>
    </row>
    <row r="46" spans="3:17">
      <c r="D46" s="66" t="s">
        <v>265</v>
      </c>
      <c r="J46" s="115">
        <v>0</v>
      </c>
      <c r="K46" s="115">
        <v>0</v>
      </c>
      <c r="L46" s="115">
        <v>0</v>
      </c>
      <c r="M46" s="115">
        <v>0</v>
      </c>
      <c r="N46" s="115">
        <v>0</v>
      </c>
      <c r="O46" s="115">
        <v>0</v>
      </c>
      <c r="P46" s="115">
        <v>0</v>
      </c>
      <c r="Q46" s="115">
        <v>0</v>
      </c>
    </row>
    <row r="47" spans="3:17">
      <c r="D47" s="66" t="s">
        <v>273</v>
      </c>
      <c r="J47" s="115">
        <v>-14.918749999999999</v>
      </c>
      <c r="K47" s="115">
        <v>-15.32015625</v>
      </c>
      <c r="L47" s="115">
        <v>-15.731597656250003</v>
      </c>
      <c r="M47" s="115">
        <v>-16.153325097656253</v>
      </c>
      <c r="N47" s="115">
        <v>-16.528720725097664</v>
      </c>
      <c r="O47" s="115">
        <v>-16.914923118225101</v>
      </c>
      <c r="P47" s="115">
        <v>-17.369077446180725</v>
      </c>
      <c r="Q47" s="115">
        <v>-17.834585632335237</v>
      </c>
    </row>
    <row r="48" spans="3:17" s="205" customFormat="1">
      <c r="D48" s="66" t="s">
        <v>559</v>
      </c>
      <c r="J48" s="115">
        <v>0.1</v>
      </c>
      <c r="K48" s="115">
        <v>0.1</v>
      </c>
      <c r="L48" s="115">
        <v>0.1</v>
      </c>
      <c r="M48" s="115">
        <v>0.1</v>
      </c>
      <c r="N48" s="115">
        <v>0.1</v>
      </c>
      <c r="O48" s="115">
        <v>0.1</v>
      </c>
      <c r="P48" s="115">
        <v>0.1</v>
      </c>
      <c r="Q48" s="115">
        <v>0.1</v>
      </c>
    </row>
    <row r="49" spans="3:17">
      <c r="D49" s="135" t="str">
        <f>"Net "&amp;C41</f>
        <v>Net Cash Flow from Financing Activities</v>
      </c>
      <c r="J49" s="193">
        <f>SUM(J43:J48)</f>
        <v>-14.81875</v>
      </c>
      <c r="K49" s="193">
        <f t="shared" ref="K49:Q49" si="12">SUM(K43:K48)</f>
        <v>-15.22015625</v>
      </c>
      <c r="L49" s="193">
        <f t="shared" si="12"/>
        <v>-15.631597656250003</v>
      </c>
      <c r="M49" s="193">
        <f t="shared" si="12"/>
        <v>-16.053325097656252</v>
      </c>
      <c r="N49" s="193">
        <f t="shared" si="12"/>
        <v>-11.428720725097664</v>
      </c>
      <c r="O49" s="193">
        <f t="shared" si="12"/>
        <v>-16.814923118225099</v>
      </c>
      <c r="P49" s="193">
        <f t="shared" si="12"/>
        <v>-17.269077446180724</v>
      </c>
      <c r="Q49" s="193">
        <f t="shared" si="12"/>
        <v>-17.734585632335236</v>
      </c>
    </row>
    <row r="50" spans="3:17">
      <c r="J50" s="83"/>
      <c r="K50" s="83"/>
      <c r="L50" s="83"/>
      <c r="M50" s="83"/>
      <c r="N50" s="83"/>
      <c r="O50" s="83"/>
      <c r="P50" s="83"/>
      <c r="Q50" s="83"/>
    </row>
    <row r="51" spans="3:17" ht="12" thickBot="1">
      <c r="C51" s="62" t="s">
        <v>18</v>
      </c>
      <c r="J51" s="195">
        <f t="shared" ref="J51:Q51" si="13">J31+J39+J49</f>
        <v>23.670976027397266</v>
      </c>
      <c r="K51" s="195">
        <f t="shared" si="13"/>
        <v>12.248336900684913</v>
      </c>
      <c r="L51" s="195">
        <f t="shared" si="13"/>
        <v>12.586971075503874</v>
      </c>
      <c r="M51" s="195">
        <f t="shared" si="13"/>
        <v>12.914444141480317</v>
      </c>
      <c r="N51" s="195">
        <f t="shared" si="13"/>
        <v>18.164268203626662</v>
      </c>
      <c r="O51" s="195">
        <f t="shared" si="13"/>
        <v>13.46507803371734</v>
      </c>
      <c r="P51" s="195">
        <f t="shared" si="13"/>
        <v>13.887616801088644</v>
      </c>
      <c r="Q51" s="195">
        <f t="shared" si="13"/>
        <v>14.249085792645896</v>
      </c>
    </row>
    <row r="52" spans="3:17" ht="11.25" thickTop="1"/>
    <row r="53" spans="3:17" s="261" customFormat="1">
      <c r="C53" s="262" t="str">
        <f>"Go to "&amp;CFS_Hist_TO!$B$1</f>
        <v>Go to Cash Flow Statement - Historical Outputs</v>
      </c>
      <c r="D53" s="263"/>
      <c r="E53" s="263"/>
      <c r="F53" s="263"/>
      <c r="G53" s="263"/>
      <c r="H53" s="263"/>
      <c r="I53" s="263"/>
    </row>
    <row r="54" spans="3:17" s="261" customFormat="1"/>
    <row r="55" spans="3:17">
      <c r="C55" s="63" t="s">
        <v>203</v>
      </c>
      <c r="D55" s="188"/>
    </row>
    <row r="56" spans="3:17">
      <c r="C56" s="82">
        <v>1</v>
      </c>
      <c r="D56" s="131"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C53:I53" location="HL_Sheet_Main_31" tooltip="Go to Cash Flow Statement - Historical Outputs" display="HL_Sheet_Main_31"/>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501</v>
      </c>
    </row>
    <row r="10" spans="3:7" ht="16.5">
      <c r="C10" s="28" t="s">
        <v>523</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499</v>
      </c>
    </row>
    <row r="18" spans="3:3">
      <c r="C18" s="178" t="s">
        <v>502</v>
      </c>
    </row>
    <row r="19" spans="3:3">
      <c r="C19" s="178"/>
    </row>
    <row r="20" spans="3:3">
      <c r="C20" s="178"/>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style="182" customWidth="1"/>
    <col min="6" max="9" width="12.83203125" style="182"/>
    <col min="10" max="12" width="12.83203125" style="182" customWidth="1"/>
    <col min="13" max="16384" width="12.83203125" style="182"/>
  </cols>
  <sheetData>
    <row r="1" spans="1:17" ht="18">
      <c r="B1" s="43" t="s">
        <v>501</v>
      </c>
    </row>
    <row r="2" spans="1:17" ht="15">
      <c r="B2" s="42" t="str">
        <f ca="1">Model_Name</f>
        <v>SMA 2. Workbook Structure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s="205" customFormat="1">
      <c r="B6" s="55" t="str">
        <f>IF(TS_Data_Final_Stub,"Period End Date",IF(TS_Pers_In_Yr=1,"",TS_Per_Type_Name&amp;" Ending"))</f>
        <v/>
      </c>
      <c r="J6" s="189" t="str">
        <f t="shared" ref="J6:Q6" si="0">IF(J12=0,IF(TS_Data_Final_Stub,"- ",IF(TS_Pers_In_Yr=1,"",0)),IF(TS_Data_Final_Stub,J9,IF(TS_Pers_In_Yr=1,"",LEFT(INDEX(LU_Mth_Names,MONTH(J9)),3)&amp;"-"&amp;RIGHT(YEAR(J9),2))&amp;" "))</f>
        <v/>
      </c>
      <c r="K6" s="189" t="str">
        <f t="shared" si="0"/>
        <v/>
      </c>
      <c r="L6" s="189" t="str">
        <f t="shared" si="0"/>
        <v/>
      </c>
      <c r="M6" s="189" t="str">
        <f t="shared" si="0"/>
        <v xml:space="preserve"> </v>
      </c>
      <c r="N6" s="189" t="str">
        <f t="shared" si="0"/>
        <v xml:space="preserve"> </v>
      </c>
      <c r="O6" s="189" t="str">
        <f t="shared" si="0"/>
        <v xml:space="preserve"> </v>
      </c>
      <c r="P6" s="189" t="str">
        <f t="shared" si="0"/>
        <v xml:space="preserve"> </v>
      </c>
      <c r="Q6" s="189" t="str">
        <f t="shared" si="0"/>
        <v xml:space="preserve"> </v>
      </c>
    </row>
    <row r="7" spans="1:17" s="205" customFormat="1">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
IF(TS_Pers_In_Yr=1,J10&amp;" ",J11)&amp;IF(CB_TS_Show_Hist_Fcast_Pers,IF(J12&lt;=TS_Actual_Pers,TS_Actual_Per_Title,
IF(J12&lt;=TS_Actual_Pers+TS_Budget_Pers,TS_Budget_Per_Title,TS_Fcast_Per_Title))&amp;" ",""))</f>
        <v xml:space="preserve"> - </v>
      </c>
      <c r="K7" s="60" t="str">
        <f t="shared" si="1"/>
        <v xml:space="preserve"> - </v>
      </c>
      <c r="L7" s="60" t="str">
        <f t="shared" si="1"/>
        <v xml:space="preserve"> - </v>
      </c>
      <c r="M7" s="60" t="str">
        <f t="shared" si="1"/>
        <v xml:space="preserve">2013 (F) </v>
      </c>
      <c r="N7" s="60" t="str">
        <f t="shared" si="1"/>
        <v xml:space="preserve">2014 (F) </v>
      </c>
      <c r="O7" s="60" t="str">
        <f t="shared" si="1"/>
        <v xml:space="preserve">2015 (F) </v>
      </c>
      <c r="P7" s="60" t="str">
        <f t="shared" si="1"/>
        <v xml:space="preserve">2016 (F) </v>
      </c>
      <c r="Q7" s="60" t="str">
        <f t="shared" si="1"/>
        <v xml:space="preserve">2017 (F) </v>
      </c>
    </row>
    <row r="8" spans="1:17" s="205" customFormat="1" hidden="1" outlineLevel="2">
      <c r="B8" s="50" t="s">
        <v>221</v>
      </c>
      <c r="J8" s="56">
        <f t="shared" ref="J8:Q8" si="2">IF(J12=0,0,IF(J12=TS_Data_Full_Pers+1,TS_Proj_Start_Date,I9+1))</f>
        <v>0</v>
      </c>
      <c r="K8" s="56">
        <f t="shared" si="2"/>
        <v>0</v>
      </c>
      <c r="L8" s="56">
        <f t="shared" si="2"/>
        <v>0</v>
      </c>
      <c r="M8" s="56">
        <f t="shared" si="2"/>
        <v>41275</v>
      </c>
      <c r="N8" s="56">
        <f t="shared" si="2"/>
        <v>41640</v>
      </c>
      <c r="O8" s="56">
        <f t="shared" si="2"/>
        <v>42005</v>
      </c>
      <c r="P8" s="56">
        <f t="shared" si="2"/>
        <v>42370</v>
      </c>
      <c r="Q8" s="56">
        <f t="shared" si="2"/>
        <v>42736</v>
      </c>
    </row>
    <row r="9" spans="1:17" s="205" customFormat="1" hidden="1" outlineLevel="2">
      <c r="B9" s="50" t="s">
        <v>222</v>
      </c>
      <c r="J9" s="5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6">
        <f t="shared" si="3"/>
        <v>0</v>
      </c>
      <c r="L9" s="56">
        <f t="shared" si="3"/>
        <v>0</v>
      </c>
      <c r="M9" s="56">
        <f t="shared" si="3"/>
        <v>41639</v>
      </c>
      <c r="N9" s="56">
        <f t="shared" si="3"/>
        <v>42004</v>
      </c>
      <c r="O9" s="56">
        <f t="shared" si="3"/>
        <v>42369</v>
      </c>
      <c r="P9" s="56">
        <f t="shared" si="3"/>
        <v>42735</v>
      </c>
      <c r="Q9" s="56">
        <f t="shared" si="3"/>
        <v>43100</v>
      </c>
    </row>
    <row r="10" spans="1:17" s="205" customFormat="1" hidden="1" outlineLevel="2">
      <c r="B10" s="50" t="s">
        <v>219</v>
      </c>
      <c r="J10" s="190">
        <f t="shared" ref="J10:Q10" si="4">IF(J12=0,0,YEAR(TS_Proj_Per_1_FY_End_Date)+INT((TS_Proj_Per_1_Number+J12-TS_Data_Full_Pers-2)/TS_Pers_In_Yr))</f>
        <v>0</v>
      </c>
      <c r="K10" s="190">
        <f t="shared" si="4"/>
        <v>0</v>
      </c>
      <c r="L10" s="190">
        <f t="shared" si="4"/>
        <v>0</v>
      </c>
      <c r="M10" s="190">
        <f t="shared" si="4"/>
        <v>2013</v>
      </c>
      <c r="N10" s="190">
        <f t="shared" si="4"/>
        <v>2014</v>
      </c>
      <c r="O10" s="190">
        <f t="shared" si="4"/>
        <v>2015</v>
      </c>
      <c r="P10" s="190">
        <f t="shared" si="4"/>
        <v>2016</v>
      </c>
      <c r="Q10" s="190">
        <f t="shared" si="4"/>
        <v>2017</v>
      </c>
    </row>
    <row r="11" spans="1:17" s="205" customFormat="1" hidden="1" outlineLevel="2">
      <c r="B11" s="50" t="s">
        <v>220</v>
      </c>
      <c r="J11" s="57" t="str">
        <f t="shared" ref="J11:Q11" si="5">IF(J12=0,"-",IF(TS_Pers_In_Yr=1,Yr_Name,TS_Per_Type_Prefix&amp;IF(MOD(TS_Per_1_Number+J12-1,TS_Pers_In_Yr)=0,TS_Pers_In_Yr,MOD(TS_Per_1_Number+J12-1,TS_Pers_In_Yr))))&amp;" "</f>
        <v xml:space="preserve">- </v>
      </c>
      <c r="K11" s="57" t="str">
        <f t="shared" si="5"/>
        <v xml:space="preserve">- </v>
      </c>
      <c r="L11" s="57" t="str">
        <f t="shared" si="5"/>
        <v xml:space="preserve">- </v>
      </c>
      <c r="M11" s="57" t="str">
        <f t="shared" si="5"/>
        <v xml:space="preserve">Year </v>
      </c>
      <c r="N11" s="57" t="str">
        <f t="shared" si="5"/>
        <v xml:space="preserve">Year </v>
      </c>
      <c r="O11" s="57" t="str">
        <f t="shared" si="5"/>
        <v xml:space="preserve">Year </v>
      </c>
      <c r="P11" s="57" t="str">
        <f t="shared" si="5"/>
        <v xml:space="preserve">Year </v>
      </c>
      <c r="Q11" s="57" t="str">
        <f t="shared" si="5"/>
        <v xml:space="preserve">Year </v>
      </c>
    </row>
    <row r="12" spans="1:17" s="205" customFormat="1" hidden="1" outlineLevel="2">
      <c r="B12" s="50" t="s">
        <v>223</v>
      </c>
      <c r="J12" s="58">
        <f t="shared" ref="J12:Q12" si="6">IF(COLUMN(J12)-COLUMN($J12)+1&lt;TS_Data_Full_Pers+1,0,COLUMN(J12)-COLUMN($J12)+1)</f>
        <v>0</v>
      </c>
      <c r="K12" s="58">
        <f t="shared" si="6"/>
        <v>0</v>
      </c>
      <c r="L12" s="58">
        <f t="shared" si="6"/>
        <v>0</v>
      </c>
      <c r="M12" s="58">
        <f t="shared" si="6"/>
        <v>4</v>
      </c>
      <c r="N12" s="58">
        <f t="shared" si="6"/>
        <v>5</v>
      </c>
      <c r="O12" s="58">
        <f t="shared" si="6"/>
        <v>6</v>
      </c>
      <c r="P12" s="58">
        <f t="shared" si="6"/>
        <v>7</v>
      </c>
      <c r="Q12" s="58">
        <f t="shared" si="6"/>
        <v>8</v>
      </c>
    </row>
    <row r="13" spans="1:17" s="205" customFormat="1" hidden="1" outlineLevel="2">
      <c r="B13" s="61" t="s">
        <v>387</v>
      </c>
      <c r="C13" s="23"/>
      <c r="D13" s="23"/>
      <c r="E13" s="23"/>
      <c r="F13" s="23"/>
      <c r="G13" s="23"/>
      <c r="H13" s="23"/>
      <c r="I13" s="23"/>
      <c r="J13" s="191" t="str">
        <f>IF(J12=0,"- ",J10&amp;"-"&amp;J11)</f>
        <v xml:space="preserve">- </v>
      </c>
      <c r="K13" s="191" t="str">
        <f t="shared" ref="K13:Q13" si="7">IF(K12=0,"- ",K10&amp;"-"&amp;K11)</f>
        <v xml:space="preserve">- </v>
      </c>
      <c r="L13" s="191" t="str">
        <f t="shared" si="7"/>
        <v xml:space="preserve">- </v>
      </c>
      <c r="M13" s="191" t="str">
        <f t="shared" si="7"/>
        <v xml:space="preserve">2013-Year </v>
      </c>
      <c r="N13" s="191" t="str">
        <f t="shared" si="7"/>
        <v xml:space="preserve">2014-Year </v>
      </c>
      <c r="O13" s="191" t="str">
        <f t="shared" si="7"/>
        <v xml:space="preserve">2015-Year </v>
      </c>
      <c r="P13" s="191" t="str">
        <f t="shared" si="7"/>
        <v xml:space="preserve">2016-Year </v>
      </c>
      <c r="Q13" s="191" t="str">
        <f t="shared" si="7"/>
        <v xml:space="preserve">2017-Year </v>
      </c>
    </row>
    <row r="14" spans="1:17" s="205" customFormat="1" collapsed="1"/>
    <row r="15" spans="1:17" s="21" customFormat="1"/>
    <row r="16" spans="1:17" s="19" customFormat="1" ht="12.75" customHeight="1">
      <c r="B16" s="114" t="s">
        <v>401</v>
      </c>
      <c r="J16" s="170"/>
    </row>
    <row r="17" spans="2:17" s="19" customFormat="1">
      <c r="I17" s="188"/>
      <c r="J17" s="188"/>
      <c r="K17" s="188"/>
      <c r="L17" s="188"/>
    </row>
    <row r="18" spans="2:17" s="170" customFormat="1">
      <c r="C18" s="192" t="str">
        <f>IS_Hist_TA!D18</f>
        <v>Revenue</v>
      </c>
      <c r="J18" s="115">
        <v>125</v>
      </c>
      <c r="K18" s="115">
        <v>128.125</v>
      </c>
      <c r="L18" s="115">
        <v>131.328125</v>
      </c>
      <c r="M18" s="115">
        <v>134.611328125</v>
      </c>
      <c r="N18" s="115">
        <v>137.97661132812499</v>
      </c>
      <c r="O18" s="115">
        <v>141.4260266113281</v>
      </c>
      <c r="P18" s="115">
        <v>144.96167727661128</v>
      </c>
      <c r="Q18" s="115">
        <v>148.58571920852654</v>
      </c>
    </row>
    <row r="19" spans="2:17" s="170" customFormat="1">
      <c r="C19" s="192" t="str">
        <f>IS_Hist_TA!D19</f>
        <v>Cost of Goods Sold</v>
      </c>
      <c r="J19" s="115">
        <v>25</v>
      </c>
      <c r="K19" s="115">
        <v>25.624999999999996</v>
      </c>
      <c r="L19" s="115">
        <v>26.265624999999993</v>
      </c>
      <c r="M19" s="115">
        <v>26.922265624999991</v>
      </c>
      <c r="N19" s="115">
        <v>27.59532226562499</v>
      </c>
      <c r="O19" s="115">
        <v>28.285205322265611</v>
      </c>
      <c r="P19" s="115">
        <v>28.992335455322248</v>
      </c>
      <c r="Q19" s="115">
        <v>29.717143841705301</v>
      </c>
    </row>
    <row r="20" spans="2:17" s="170" customFormat="1">
      <c r="C20" s="192" t="str">
        <f>IS_Hist_TA!D23</f>
        <v>Operating Expenditure</v>
      </c>
      <c r="J20" s="115">
        <v>40</v>
      </c>
      <c r="K20" s="115">
        <v>41</v>
      </c>
      <c r="L20" s="115">
        <v>42.024999999999999</v>
      </c>
      <c r="M20" s="115">
        <v>43.075624999999995</v>
      </c>
      <c r="N20" s="115">
        <v>44.152515624999992</v>
      </c>
      <c r="O20" s="115">
        <v>45.256328515624986</v>
      </c>
      <c r="P20" s="115">
        <v>46.387736728515605</v>
      </c>
      <c r="Q20" s="115">
        <v>47.547430146728495</v>
      </c>
    </row>
    <row r="21" spans="2:17" s="170" customFormat="1">
      <c r="C21" s="192" t="str">
        <f>CFS_Hist_TA!D35</f>
        <v>Capital Expenditure - Assets</v>
      </c>
      <c r="J21" s="115">
        <v>15</v>
      </c>
      <c r="K21" s="115">
        <v>15.374999999999998</v>
      </c>
      <c r="L21" s="115">
        <v>15.759374999999997</v>
      </c>
      <c r="M21" s="115">
        <v>16.153359374999994</v>
      </c>
      <c r="N21" s="115">
        <v>16.557193359374992</v>
      </c>
      <c r="O21" s="115">
        <v>16.971123193359364</v>
      </c>
      <c r="P21" s="115">
        <v>17.395401273193347</v>
      </c>
      <c r="Q21" s="115">
        <v>17.830286305023179</v>
      </c>
    </row>
    <row r="22" spans="2:17" s="170" customFormat="1">
      <c r="C22" s="192" t="str">
        <f>CFS_Hist_TA!D36</f>
        <v>Capital Expenditure - Intangibles</v>
      </c>
      <c r="J22" s="115">
        <v>2.5</v>
      </c>
      <c r="K22" s="115">
        <v>2.5625</v>
      </c>
      <c r="L22" s="115">
        <v>2.6265624999999999</v>
      </c>
      <c r="M22" s="115">
        <v>2.6922265624999997</v>
      </c>
      <c r="N22" s="115">
        <v>2.7595322265624995</v>
      </c>
      <c r="O22" s="115">
        <v>2.8285205322265616</v>
      </c>
      <c r="P22" s="115">
        <v>2.8992335455322253</v>
      </c>
      <c r="Q22" s="115">
        <v>2.9717143841705309</v>
      </c>
    </row>
    <row r="23" spans="2:17" s="170" customFormat="1">
      <c r="K23" s="249"/>
      <c r="L23" s="249"/>
      <c r="M23" s="249"/>
      <c r="N23" s="249"/>
      <c r="O23" s="249"/>
      <c r="P23" s="249"/>
      <c r="Q23" s="249"/>
    </row>
    <row r="24" spans="2:17" s="19" customFormat="1">
      <c r="C24" s="63" t="s">
        <v>203</v>
      </c>
      <c r="K24" s="249"/>
      <c r="L24" s="249"/>
      <c r="M24" s="249"/>
      <c r="N24" s="249"/>
      <c r="O24" s="249"/>
      <c r="P24" s="249"/>
      <c r="Q24" s="249"/>
    </row>
    <row r="25" spans="2:17" s="188" customFormat="1">
      <c r="C25" s="82">
        <v>1</v>
      </c>
      <c r="D25" s="131" t="str">
        <f>"Revenue and expense assumptions are entered in "&amp;INDEX(LU_Denom,DD_TS_Denom)&amp;"."</f>
        <v>Revenue and expense assumptions are entered in $Millions.</v>
      </c>
      <c r="K25" s="249"/>
      <c r="L25" s="249"/>
      <c r="M25" s="249"/>
      <c r="N25" s="249"/>
      <c r="O25" s="249"/>
      <c r="P25" s="249"/>
      <c r="Q25" s="249"/>
    </row>
    <row r="26" spans="2:17" s="19" customFormat="1">
      <c r="C26" s="82">
        <v>2</v>
      </c>
      <c r="D26" s="66" t="s">
        <v>464</v>
      </c>
      <c r="K26" s="249"/>
      <c r="L26" s="249"/>
      <c r="M26" s="249"/>
      <c r="N26" s="249"/>
      <c r="O26" s="249"/>
      <c r="P26" s="249"/>
      <c r="Q26" s="249"/>
    </row>
    <row r="27" spans="2:17" s="19" customFormat="1">
      <c r="K27" s="249"/>
      <c r="L27" s="249"/>
      <c r="M27" s="249"/>
      <c r="N27" s="249"/>
      <c r="O27" s="249"/>
      <c r="P27" s="249"/>
      <c r="Q27" s="249"/>
    </row>
    <row r="28" spans="2:17" s="21" customFormat="1">
      <c r="K28" s="249"/>
      <c r="L28" s="249"/>
      <c r="M28" s="249"/>
      <c r="N28" s="249"/>
      <c r="O28" s="249"/>
      <c r="P28" s="249"/>
      <c r="Q28" s="249"/>
    </row>
    <row r="29" spans="2:17" s="21" customFormat="1" ht="12.75">
      <c r="B29" s="114" t="s">
        <v>402</v>
      </c>
      <c r="I29" s="205"/>
      <c r="K29" s="249"/>
      <c r="L29" s="249"/>
      <c r="M29" s="249"/>
      <c r="N29" s="249"/>
      <c r="O29" s="249"/>
      <c r="P29" s="249"/>
      <c r="Q29" s="249"/>
    </row>
    <row r="30" spans="2:17" s="205" customFormat="1">
      <c r="K30" s="249"/>
      <c r="L30" s="249"/>
      <c r="M30" s="249"/>
      <c r="N30" s="249"/>
      <c r="O30" s="249"/>
      <c r="P30" s="249"/>
      <c r="Q30" s="249"/>
    </row>
    <row r="31" spans="2:17" s="205" customFormat="1" ht="11.25">
      <c r="C31" s="235" t="str">
        <f>BS_Hist_TA!$D$23</f>
        <v>Accounts Receivable</v>
      </c>
      <c r="K31" s="249"/>
      <c r="L31" s="249"/>
      <c r="M31" s="249"/>
      <c r="N31" s="249"/>
      <c r="O31" s="249"/>
      <c r="P31" s="249"/>
      <c r="Q31" s="249"/>
    </row>
    <row r="32" spans="2:17" s="205" customFormat="1">
      <c r="I32" s="236">
        <f>TS_Proj_Start_Date</f>
        <v>41275</v>
      </c>
      <c r="K32" s="249"/>
      <c r="L32" s="249"/>
      <c r="M32" s="249"/>
      <c r="N32" s="249"/>
      <c r="O32" s="249"/>
      <c r="P32" s="249"/>
      <c r="Q32" s="249"/>
    </row>
    <row r="33" spans="2:17" s="205" customFormat="1">
      <c r="D33" s="66" t="s">
        <v>245</v>
      </c>
      <c r="I33" s="237">
        <f ca="1">OFFSET(BS_Hist_TO!$I$23,0,TS_Data_Total_Pers)</f>
        <v>10.764600409836065</v>
      </c>
      <c r="K33" s="249"/>
      <c r="L33" s="249"/>
      <c r="M33" s="249"/>
      <c r="N33" s="249"/>
      <c r="O33" s="249"/>
      <c r="P33" s="249"/>
      <c r="Q33" s="249"/>
    </row>
    <row r="34" spans="2:17" s="205" customFormat="1">
      <c r="D34" s="66" t="s">
        <v>408</v>
      </c>
      <c r="I34" s="232"/>
      <c r="J34" s="231">
        <v>30</v>
      </c>
      <c r="K34" s="231">
        <v>30</v>
      </c>
      <c r="L34" s="231">
        <v>30</v>
      </c>
      <c r="M34" s="231">
        <v>30</v>
      </c>
      <c r="N34" s="231">
        <v>30</v>
      </c>
      <c r="O34" s="231">
        <v>30</v>
      </c>
      <c r="P34" s="231">
        <v>30</v>
      </c>
      <c r="Q34" s="231">
        <v>30</v>
      </c>
    </row>
    <row r="35" spans="2:17" s="205" customFormat="1">
      <c r="K35" s="249"/>
      <c r="L35" s="249"/>
      <c r="M35" s="249"/>
      <c r="N35" s="249"/>
      <c r="O35" s="249"/>
      <c r="P35" s="249"/>
      <c r="Q35" s="249"/>
    </row>
    <row r="36" spans="2:17" s="205" customFormat="1" ht="11.25">
      <c r="C36" s="235" t="str">
        <f>BS_Hist_TA!$D$39</f>
        <v>Accounts Payable</v>
      </c>
      <c r="K36" s="249"/>
      <c r="L36" s="249"/>
      <c r="M36" s="249"/>
      <c r="N36" s="249"/>
      <c r="O36" s="249"/>
      <c r="P36" s="249"/>
      <c r="Q36" s="249"/>
    </row>
    <row r="37" spans="2:17" s="205" customFormat="1">
      <c r="I37" s="236">
        <f>TS_Proj_Start_Date</f>
        <v>41275</v>
      </c>
      <c r="K37" s="249"/>
      <c r="L37" s="249"/>
      <c r="M37" s="249"/>
      <c r="N37" s="249"/>
      <c r="O37" s="249"/>
      <c r="P37" s="249"/>
      <c r="Q37" s="249"/>
    </row>
    <row r="38" spans="2:17" s="205" customFormat="1">
      <c r="D38" s="66" t="s">
        <v>245</v>
      </c>
      <c r="I38" s="237">
        <f ca="1">OFFSET(BS_Hist_TO!$I$39,0,TS_Data_Total_Pers)</f>
        <v>8.3963883196721305</v>
      </c>
      <c r="K38" s="249"/>
      <c r="L38" s="249"/>
      <c r="M38" s="249"/>
      <c r="N38" s="249"/>
      <c r="O38" s="249"/>
      <c r="P38" s="249"/>
      <c r="Q38" s="249"/>
    </row>
    <row r="39" spans="2:17" s="21" customFormat="1">
      <c r="C39" s="205"/>
      <c r="D39" s="66" t="s">
        <v>409</v>
      </c>
      <c r="J39" s="231">
        <v>45</v>
      </c>
      <c r="K39" s="231">
        <v>45</v>
      </c>
      <c r="L39" s="231">
        <v>45</v>
      </c>
      <c r="M39" s="231">
        <v>45</v>
      </c>
      <c r="N39" s="231">
        <v>45</v>
      </c>
      <c r="O39" s="231">
        <v>45</v>
      </c>
      <c r="P39" s="231">
        <v>45</v>
      </c>
      <c r="Q39" s="231">
        <v>45</v>
      </c>
    </row>
    <row r="40" spans="2:17" s="21" customFormat="1">
      <c r="J40" s="170"/>
      <c r="K40" s="249"/>
      <c r="L40" s="249"/>
      <c r="M40" s="249"/>
      <c r="N40" s="249"/>
      <c r="O40" s="249"/>
      <c r="P40" s="249"/>
      <c r="Q40" s="249"/>
    </row>
    <row r="41" spans="2:17" s="21" customFormat="1">
      <c r="C41" s="63" t="s">
        <v>203</v>
      </c>
      <c r="D41" s="170"/>
      <c r="K41" s="249"/>
      <c r="L41" s="249"/>
      <c r="M41" s="249"/>
      <c r="N41" s="249"/>
      <c r="O41" s="249"/>
      <c r="P41" s="249"/>
      <c r="Q41" s="249"/>
    </row>
    <row r="42" spans="2:17" s="21" customFormat="1">
      <c r="C42" s="82">
        <v>1</v>
      </c>
      <c r="D42" s="66" t="s">
        <v>465</v>
      </c>
      <c r="K42" s="249"/>
      <c r="L42" s="249"/>
      <c r="M42" s="249"/>
      <c r="N42" s="249"/>
      <c r="O42" s="249"/>
      <c r="P42" s="249"/>
      <c r="Q42" s="249"/>
    </row>
    <row r="43" spans="2:17" s="21" customFormat="1">
      <c r="K43" s="249"/>
      <c r="L43" s="249"/>
      <c r="M43" s="249"/>
      <c r="N43" s="249"/>
      <c r="O43" s="249"/>
      <c r="P43" s="249"/>
      <c r="Q43" s="249"/>
    </row>
    <row r="44" spans="2:17" s="21" customFormat="1">
      <c r="K44" s="249"/>
      <c r="L44" s="249"/>
      <c r="M44" s="249"/>
      <c r="N44" s="249"/>
      <c r="O44" s="249"/>
      <c r="P44" s="249"/>
      <c r="Q44" s="249"/>
    </row>
    <row r="45" spans="2:17" s="21" customFormat="1" ht="12.75">
      <c r="B45" s="114" t="s">
        <v>403</v>
      </c>
      <c r="I45" s="205"/>
      <c r="K45" s="249"/>
      <c r="L45" s="249"/>
      <c r="M45" s="249"/>
      <c r="N45" s="249"/>
      <c r="O45" s="249"/>
      <c r="P45" s="249"/>
      <c r="Q45" s="249"/>
    </row>
    <row r="46" spans="2:17" s="205" customFormat="1">
      <c r="K46" s="249"/>
      <c r="L46" s="249"/>
      <c r="M46" s="249"/>
      <c r="N46" s="249"/>
      <c r="O46" s="249"/>
      <c r="P46" s="249"/>
      <c r="Q46" s="249"/>
    </row>
    <row r="47" spans="2:17" s="205" customFormat="1" ht="12.75">
      <c r="B47" s="114"/>
      <c r="C47" s="235" t="str">
        <f>BS_Hist_TA!$D$29</f>
        <v>Assets</v>
      </c>
      <c r="I47" s="233"/>
      <c r="K47" s="249"/>
      <c r="L47" s="249"/>
      <c r="M47" s="249"/>
      <c r="N47" s="249"/>
      <c r="O47" s="249"/>
      <c r="P47" s="249"/>
      <c r="Q47" s="249"/>
    </row>
    <row r="48" spans="2:17" s="205" customFormat="1">
      <c r="I48" s="236">
        <f>TS_Proj_Start_Date</f>
        <v>41275</v>
      </c>
      <c r="K48" s="249"/>
      <c r="L48" s="249"/>
      <c r="M48" s="249"/>
      <c r="N48" s="249"/>
      <c r="O48" s="249"/>
      <c r="P48" s="249"/>
      <c r="Q48" s="249"/>
    </row>
    <row r="49" spans="2:17" s="205" customFormat="1">
      <c r="D49" s="66" t="s">
        <v>245</v>
      </c>
      <c r="I49" s="237">
        <f ca="1">OFFSET(BS_Hist_TO!$I$29,0,TS_Data_Total_Pers)</f>
        <v>149.6134375</v>
      </c>
      <c r="K49" s="249"/>
      <c r="L49" s="249"/>
      <c r="M49" s="249"/>
      <c r="N49" s="249"/>
      <c r="O49" s="249"/>
      <c r="P49" s="249"/>
      <c r="Q49" s="249"/>
    </row>
    <row r="50" spans="2:17" s="205" customFormat="1">
      <c r="D50" s="66" t="s">
        <v>469</v>
      </c>
      <c r="I50" s="232"/>
      <c r="J50" s="65">
        <v>0.9</v>
      </c>
      <c r="K50" s="65">
        <v>0.9</v>
      </c>
      <c r="L50" s="65">
        <v>0.9</v>
      </c>
      <c r="M50" s="65">
        <v>0.9</v>
      </c>
      <c r="N50" s="65">
        <v>0.9</v>
      </c>
      <c r="O50" s="65">
        <v>0.9</v>
      </c>
      <c r="P50" s="65">
        <v>0.9</v>
      </c>
      <c r="Q50" s="65">
        <v>0.9</v>
      </c>
    </row>
    <row r="51" spans="2:17" s="205" customFormat="1">
      <c r="K51" s="249"/>
      <c r="L51" s="249"/>
      <c r="M51" s="249"/>
      <c r="N51" s="249"/>
      <c r="O51" s="249"/>
      <c r="P51" s="249"/>
      <c r="Q51" s="249"/>
    </row>
    <row r="52" spans="2:17" s="205" customFormat="1" ht="12.75">
      <c r="B52" s="114"/>
      <c r="C52" s="235" t="str">
        <f>BS_Hist_TA!$D$30</f>
        <v>Intangibles</v>
      </c>
      <c r="I52" s="233"/>
      <c r="K52" s="249"/>
      <c r="L52" s="249"/>
      <c r="M52" s="249"/>
      <c r="N52" s="249"/>
      <c r="O52" s="249"/>
      <c r="P52" s="249"/>
      <c r="Q52" s="249"/>
    </row>
    <row r="53" spans="2:17" s="205" customFormat="1">
      <c r="I53" s="236">
        <f>TS_Proj_Start_Date</f>
        <v>41275</v>
      </c>
      <c r="K53" s="249"/>
      <c r="L53" s="249"/>
      <c r="M53" s="249"/>
      <c r="N53" s="249"/>
      <c r="O53" s="249"/>
      <c r="P53" s="249"/>
      <c r="Q53" s="249"/>
    </row>
    <row r="54" spans="2:17" s="205" customFormat="1">
      <c r="D54" s="66" t="s">
        <v>245</v>
      </c>
      <c r="I54" s="237">
        <f ca="1">OFFSET(BS_Hist_TO!$I$30,0,TS_Data_Total_Pers)</f>
        <v>17.266796874999997</v>
      </c>
      <c r="K54" s="249"/>
      <c r="L54" s="249"/>
      <c r="M54" s="249"/>
      <c r="N54" s="249"/>
      <c r="O54" s="249"/>
      <c r="P54" s="249"/>
      <c r="Q54" s="249"/>
    </row>
    <row r="55" spans="2:17" s="205" customFormat="1">
      <c r="D55" s="66" t="s">
        <v>469</v>
      </c>
      <c r="I55" s="232"/>
      <c r="J55" s="65">
        <v>0.25</v>
      </c>
      <c r="K55" s="65">
        <v>0.25</v>
      </c>
      <c r="L55" s="65">
        <v>0.25</v>
      </c>
      <c r="M55" s="65">
        <v>0.25</v>
      </c>
      <c r="N55" s="65">
        <v>0.25</v>
      </c>
      <c r="O55" s="65">
        <v>0.25</v>
      </c>
      <c r="P55" s="65">
        <v>0.25</v>
      </c>
      <c r="Q55" s="65">
        <v>0.25</v>
      </c>
    </row>
    <row r="56" spans="2:17" s="21" customFormat="1">
      <c r="K56" s="249"/>
      <c r="L56" s="249"/>
      <c r="M56" s="249"/>
      <c r="N56" s="249"/>
      <c r="O56" s="249"/>
      <c r="P56" s="249"/>
      <c r="Q56" s="249"/>
    </row>
    <row r="57" spans="2:17" s="21" customFormat="1">
      <c r="K57" s="249"/>
      <c r="L57" s="249"/>
      <c r="M57" s="249"/>
      <c r="N57" s="249"/>
      <c r="O57" s="249"/>
      <c r="P57" s="249"/>
      <c r="Q57" s="249"/>
    </row>
    <row r="58" spans="2:17" s="21" customFormat="1" ht="12.75">
      <c r="B58" s="114" t="s">
        <v>404</v>
      </c>
      <c r="K58" s="249"/>
      <c r="L58" s="249"/>
      <c r="M58" s="249"/>
      <c r="N58" s="249"/>
      <c r="O58" s="249"/>
      <c r="P58" s="249"/>
      <c r="Q58" s="249"/>
    </row>
    <row r="59" spans="2:17" s="21" customFormat="1">
      <c r="K59" s="249"/>
      <c r="L59" s="249"/>
      <c r="M59" s="249"/>
      <c r="N59" s="249"/>
      <c r="O59" s="249"/>
      <c r="P59" s="249"/>
      <c r="Q59" s="249"/>
    </row>
    <row r="60" spans="2:17" s="170" customFormat="1" ht="11.25">
      <c r="C60" s="235" t="str">
        <f>BS_Hist_TA!$D$48</f>
        <v>Debt</v>
      </c>
      <c r="K60" s="249"/>
      <c r="L60" s="249"/>
      <c r="M60" s="249"/>
      <c r="N60" s="249"/>
      <c r="O60" s="249"/>
      <c r="P60" s="249"/>
      <c r="Q60" s="249"/>
    </row>
    <row r="61" spans="2:17" s="170" customFormat="1">
      <c r="K61" s="249"/>
      <c r="L61" s="249"/>
      <c r="M61" s="249"/>
      <c r="N61" s="249"/>
      <c r="O61" s="249"/>
      <c r="P61" s="249"/>
      <c r="Q61" s="249"/>
    </row>
    <row r="62" spans="2:17" s="19" customFormat="1">
      <c r="D62" s="135" t="str">
        <f>"Funds Drawn ("&amp;INDEX(LU_Denom,DD_TS_Denom)&amp;")"</f>
        <v>Funds Drawn ($Millions)</v>
      </c>
      <c r="K62" s="249"/>
      <c r="L62" s="249"/>
      <c r="M62" s="249"/>
      <c r="N62" s="249"/>
      <c r="O62" s="249"/>
      <c r="P62" s="249"/>
      <c r="Q62" s="249"/>
    </row>
    <row r="63" spans="2:17" s="19" customFormat="1">
      <c r="I63" s="236">
        <f>TS_Proj_Start_Date</f>
        <v>41275</v>
      </c>
      <c r="K63" s="249"/>
      <c r="L63" s="249"/>
      <c r="M63" s="249"/>
      <c r="N63" s="249"/>
      <c r="O63" s="249"/>
      <c r="P63" s="249"/>
      <c r="Q63" s="249"/>
    </row>
    <row r="64" spans="2:17" s="19" customFormat="1">
      <c r="E64" s="66" t="s">
        <v>245</v>
      </c>
      <c r="I64" s="237">
        <f ca="1">OFFSET(BS_Hist_TO!$I$48,0,TS_Data_Total_Pers)</f>
        <v>50</v>
      </c>
      <c r="J64" s="83">
        <f>Fcast_OP_TO!J95</f>
        <v>0</v>
      </c>
      <c r="K64" s="83">
        <f>Fcast_OP_TO!K95</f>
        <v>0</v>
      </c>
      <c r="L64" s="83">
        <f>Fcast_OP_TO!L95</f>
        <v>0</v>
      </c>
      <c r="M64" s="83">
        <f ca="1">Fcast_OP_TO!M95</f>
        <v>50</v>
      </c>
      <c r="N64" s="83">
        <f ca="1">Fcast_OP_TO!N95</f>
        <v>50</v>
      </c>
      <c r="O64" s="83">
        <f ca="1">Fcast_OP_TO!O95</f>
        <v>55</v>
      </c>
      <c r="P64" s="83">
        <f ca="1">Fcast_OP_TO!P95</f>
        <v>55</v>
      </c>
      <c r="Q64" s="83">
        <f ca="1">Fcast_OP_TO!Q95</f>
        <v>55</v>
      </c>
    </row>
    <row r="65" spans="3:17" s="19" customFormat="1">
      <c r="E65" s="66" t="s">
        <v>246</v>
      </c>
      <c r="J65" s="115">
        <v>0</v>
      </c>
      <c r="K65" s="115">
        <v>0</v>
      </c>
      <c r="L65" s="115">
        <v>0</v>
      </c>
      <c r="M65" s="115">
        <v>0</v>
      </c>
      <c r="N65" s="115">
        <v>50</v>
      </c>
      <c r="O65" s="115">
        <v>0</v>
      </c>
      <c r="P65" s="115">
        <v>0</v>
      </c>
      <c r="Q65" s="115">
        <v>0</v>
      </c>
    </row>
    <row r="66" spans="3:17" s="19" customFormat="1">
      <c r="E66" s="66" t="s">
        <v>247</v>
      </c>
      <c r="J66" s="115">
        <v>0</v>
      </c>
      <c r="K66" s="115">
        <v>0</v>
      </c>
      <c r="L66" s="115">
        <v>0</v>
      </c>
      <c r="M66" s="115">
        <v>0</v>
      </c>
      <c r="N66" s="115">
        <v>45</v>
      </c>
      <c r="O66" s="115">
        <v>0</v>
      </c>
      <c r="P66" s="115">
        <v>0</v>
      </c>
      <c r="Q66" s="115">
        <v>0</v>
      </c>
    </row>
    <row r="67" spans="3:17" s="19" customFormat="1">
      <c r="E67" s="63" t="s">
        <v>248</v>
      </c>
      <c r="J67" s="130">
        <f>Fcast_OP_TO!J98</f>
        <v>0</v>
      </c>
      <c r="K67" s="130">
        <f>Fcast_OP_TO!K98</f>
        <v>0</v>
      </c>
      <c r="L67" s="130">
        <f>Fcast_OP_TO!L98</f>
        <v>0</v>
      </c>
      <c r="M67" s="130">
        <f ca="1">Fcast_OP_TO!M98</f>
        <v>50</v>
      </c>
      <c r="N67" s="130">
        <f ca="1">Fcast_OP_TO!N98</f>
        <v>55</v>
      </c>
      <c r="O67" s="130">
        <f ca="1">Fcast_OP_TO!O98</f>
        <v>55</v>
      </c>
      <c r="P67" s="130">
        <f ca="1">Fcast_OP_TO!P98</f>
        <v>55</v>
      </c>
      <c r="Q67" s="130">
        <f ca="1">Fcast_OP_TO!Q98</f>
        <v>55</v>
      </c>
    </row>
    <row r="68" spans="3:17" s="19" customFormat="1">
      <c r="K68" s="249"/>
      <c r="L68" s="249"/>
      <c r="M68" s="249"/>
      <c r="N68" s="249"/>
      <c r="O68" s="249"/>
      <c r="P68" s="249"/>
      <c r="Q68" s="249"/>
    </row>
    <row r="69" spans="3:17" s="19" customFormat="1">
      <c r="E69" s="66" t="s">
        <v>249</v>
      </c>
      <c r="J69" s="64">
        <v>0.5</v>
      </c>
      <c r="K69" s="64">
        <v>0.5</v>
      </c>
      <c r="L69" s="64">
        <v>0.5</v>
      </c>
      <c r="M69" s="64">
        <v>0.5</v>
      </c>
      <c r="N69" s="64">
        <v>0.5</v>
      </c>
      <c r="O69" s="64">
        <v>0.5</v>
      </c>
      <c r="P69" s="64">
        <v>0.5</v>
      </c>
      <c r="Q69" s="64">
        <v>0.5</v>
      </c>
    </row>
    <row r="70" spans="3:17" s="19" customFormat="1">
      <c r="K70" s="249"/>
      <c r="L70" s="249"/>
      <c r="M70" s="249"/>
      <c r="N70" s="249"/>
      <c r="O70" s="249"/>
      <c r="P70" s="249"/>
      <c r="Q70" s="249"/>
    </row>
    <row r="71" spans="3:17" s="19" customFormat="1">
      <c r="D71" s="63" t="s">
        <v>250</v>
      </c>
      <c r="K71" s="249"/>
      <c r="L71" s="249"/>
      <c r="M71" s="249"/>
      <c r="N71" s="249"/>
      <c r="O71" s="249"/>
      <c r="P71" s="249"/>
      <c r="Q71" s="249"/>
    </row>
    <row r="72" spans="3:17" s="19" customFormat="1">
      <c r="I72" s="236">
        <f>TS_Proj_Start_Date</f>
        <v>41275</v>
      </c>
      <c r="K72" s="249"/>
      <c r="L72" s="249"/>
      <c r="M72" s="249"/>
      <c r="N72" s="249"/>
      <c r="O72" s="249"/>
      <c r="P72" s="249"/>
      <c r="Q72" s="249"/>
    </row>
    <row r="73" spans="3:17" s="19" customFormat="1">
      <c r="E73" s="131" t="str">
        <f>"Opening Interest Payable ("&amp;INDEX(LU_Denom,DD_TS_Denom)&amp;")"</f>
        <v>Opening Interest Payable ($Millions)</v>
      </c>
      <c r="I73" s="237">
        <f ca="1">OFFSET(BS_Hist_TO!$I$41,0,TS_Data_Total_Pers)</f>
        <v>0</v>
      </c>
      <c r="K73" s="249"/>
      <c r="L73" s="249"/>
      <c r="M73" s="249"/>
      <c r="N73" s="249"/>
      <c r="O73" s="249"/>
      <c r="P73" s="249"/>
      <c r="Q73" s="249"/>
    </row>
    <row r="74" spans="3:17" s="19" customFormat="1">
      <c r="K74" s="249"/>
      <c r="L74" s="249"/>
      <c r="M74" s="249"/>
      <c r="N74" s="249"/>
      <c r="O74" s="249"/>
      <c r="P74" s="249"/>
      <c r="Q74" s="249"/>
    </row>
    <row r="75" spans="3:17" s="19" customFormat="1">
      <c r="E75" s="66" t="s">
        <v>251</v>
      </c>
      <c r="J75" s="133">
        <v>0.05</v>
      </c>
      <c r="K75" s="133">
        <v>0.05</v>
      </c>
      <c r="L75" s="133">
        <v>0.05</v>
      </c>
      <c r="M75" s="133">
        <v>0.05</v>
      </c>
      <c r="N75" s="133">
        <v>0.05</v>
      </c>
      <c r="O75" s="133">
        <v>0.05</v>
      </c>
      <c r="P75" s="133">
        <v>0.05</v>
      </c>
      <c r="Q75" s="133">
        <v>0.05</v>
      </c>
    </row>
    <row r="76" spans="3:17" s="19" customFormat="1">
      <c r="E76" s="66" t="s">
        <v>252</v>
      </c>
      <c r="J76" s="133">
        <v>1.4999999999999999E-2</v>
      </c>
      <c r="K76" s="133">
        <v>1.4999999999999999E-2</v>
      </c>
      <c r="L76" s="133">
        <v>1.4999999999999999E-2</v>
      </c>
      <c r="M76" s="133">
        <v>1.4999999999999999E-2</v>
      </c>
      <c r="N76" s="133">
        <v>1.4999999999999999E-2</v>
      </c>
      <c r="O76" s="133">
        <v>1.4999999999999999E-2</v>
      </c>
      <c r="P76" s="133">
        <v>1.4999999999999999E-2</v>
      </c>
      <c r="Q76" s="133">
        <v>1.4999999999999999E-2</v>
      </c>
    </row>
    <row r="77" spans="3:17" s="19" customFormat="1">
      <c r="E77" s="66" t="s">
        <v>253</v>
      </c>
      <c r="J77" s="134">
        <f>IF(J$12=0,0,SUM(J75:J76))</f>
        <v>0</v>
      </c>
      <c r="K77" s="134">
        <f t="shared" ref="K77:Q77" si="8">IF(K$12=0,0,SUM(K75:K76))</f>
        <v>0</v>
      </c>
      <c r="L77" s="134">
        <f t="shared" si="8"/>
        <v>0</v>
      </c>
      <c r="M77" s="134">
        <f t="shared" si="8"/>
        <v>6.5000000000000002E-2</v>
      </c>
      <c r="N77" s="134">
        <f t="shared" si="8"/>
        <v>6.5000000000000002E-2</v>
      </c>
      <c r="O77" s="134">
        <f t="shared" si="8"/>
        <v>6.5000000000000002E-2</v>
      </c>
      <c r="P77" s="134">
        <f t="shared" si="8"/>
        <v>6.5000000000000002E-2</v>
      </c>
      <c r="Q77" s="134">
        <f t="shared" si="8"/>
        <v>6.5000000000000002E-2</v>
      </c>
    </row>
    <row r="78" spans="3:17" s="21" customFormat="1">
      <c r="K78" s="249"/>
      <c r="L78" s="249"/>
      <c r="M78" s="249"/>
      <c r="N78" s="249"/>
      <c r="O78" s="249"/>
      <c r="P78" s="249"/>
      <c r="Q78" s="249"/>
    </row>
    <row r="79" spans="3:17" s="19" customFormat="1" ht="11.25">
      <c r="C79" s="235" t="str">
        <f>BS_Hist_TA!D59</f>
        <v>Ordinary Equity</v>
      </c>
      <c r="K79" s="249"/>
      <c r="L79" s="249"/>
      <c r="M79" s="249"/>
      <c r="N79" s="249"/>
      <c r="O79" s="249"/>
      <c r="P79" s="249"/>
      <c r="Q79" s="249"/>
    </row>
    <row r="80" spans="3:17" s="19" customFormat="1">
      <c r="K80" s="249"/>
      <c r="L80" s="249"/>
      <c r="M80" s="249"/>
      <c r="N80" s="249"/>
      <c r="O80" s="249"/>
      <c r="P80" s="249"/>
      <c r="Q80" s="249"/>
    </row>
    <row r="81" spans="4:17" s="19" customFormat="1">
      <c r="D81" s="135" t="str">
        <f>"Ordinary Equity Balances"&amp;" ("&amp;INDEX(LU_Denom,DD_TS_Denom)&amp;")"</f>
        <v>Ordinary Equity Balances ($Millions)</v>
      </c>
      <c r="K81" s="249"/>
      <c r="L81" s="249"/>
      <c r="M81" s="249"/>
      <c r="N81" s="249"/>
      <c r="O81" s="249"/>
      <c r="P81" s="249"/>
      <c r="Q81" s="249"/>
    </row>
    <row r="82" spans="4:17" s="19" customFormat="1">
      <c r="I82" s="236">
        <f>TS_Proj_Start_Date</f>
        <v>41275</v>
      </c>
      <c r="K82" s="249"/>
      <c r="L82" s="249"/>
      <c r="M82" s="249"/>
      <c r="N82" s="249"/>
      <c r="O82" s="249"/>
      <c r="P82" s="249"/>
      <c r="Q82" s="249"/>
    </row>
    <row r="83" spans="4:17" s="19" customFormat="1">
      <c r="E83" s="66" t="s">
        <v>245</v>
      </c>
      <c r="I83" s="237">
        <f ca="1">OFFSET(BS_Hist_TO!$I$59,0,TS_Data_Total_Pers)</f>
        <v>75</v>
      </c>
      <c r="J83" s="83">
        <f>Fcast_OP_TO!J121</f>
        <v>0</v>
      </c>
      <c r="K83" s="83">
        <f>Fcast_OP_TO!K121</f>
        <v>0</v>
      </c>
      <c r="L83" s="83">
        <f>Fcast_OP_TO!L121</f>
        <v>0</v>
      </c>
      <c r="M83" s="83">
        <f ca="1">Fcast_OP_TO!M121</f>
        <v>75</v>
      </c>
      <c r="N83" s="83">
        <f ca="1">Fcast_OP_TO!N121</f>
        <v>75</v>
      </c>
      <c r="O83" s="83">
        <f ca="1">Fcast_OP_TO!O121</f>
        <v>75</v>
      </c>
      <c r="P83" s="83">
        <f ca="1">Fcast_OP_TO!P121</f>
        <v>75</v>
      </c>
      <c r="Q83" s="83">
        <f ca="1">Fcast_OP_TO!Q121</f>
        <v>75</v>
      </c>
    </row>
    <row r="84" spans="4:17" s="19" customFormat="1">
      <c r="E84" s="66" t="s">
        <v>264</v>
      </c>
      <c r="J84" s="115">
        <v>0</v>
      </c>
      <c r="K84" s="115">
        <v>0</v>
      </c>
      <c r="L84" s="115">
        <v>0</v>
      </c>
      <c r="M84" s="115">
        <v>0</v>
      </c>
      <c r="N84" s="115">
        <v>0</v>
      </c>
      <c r="O84" s="115">
        <v>0</v>
      </c>
      <c r="P84" s="115">
        <v>0</v>
      </c>
      <c r="Q84" s="115">
        <v>0</v>
      </c>
    </row>
    <row r="85" spans="4:17" s="19" customFormat="1">
      <c r="E85" s="66" t="s">
        <v>265</v>
      </c>
      <c r="J85" s="115">
        <v>0</v>
      </c>
      <c r="K85" s="115">
        <v>0</v>
      </c>
      <c r="L85" s="115">
        <v>0</v>
      </c>
      <c r="M85" s="115">
        <v>0</v>
      </c>
      <c r="N85" s="115">
        <v>0</v>
      </c>
      <c r="O85" s="115">
        <v>0</v>
      </c>
      <c r="P85" s="115">
        <v>0</v>
      </c>
      <c r="Q85" s="115">
        <v>0</v>
      </c>
    </row>
    <row r="86" spans="4:17" s="19" customFormat="1">
      <c r="E86" s="63" t="s">
        <v>266</v>
      </c>
      <c r="J86" s="130">
        <f>Fcast_OP_TO!J124</f>
        <v>0</v>
      </c>
      <c r="K86" s="130">
        <f>Fcast_OP_TO!K124</f>
        <v>0</v>
      </c>
      <c r="L86" s="130">
        <f>Fcast_OP_TO!L124</f>
        <v>0</v>
      </c>
      <c r="M86" s="130">
        <f ca="1">Fcast_OP_TO!M124</f>
        <v>75</v>
      </c>
      <c r="N86" s="130">
        <f ca="1">Fcast_OP_TO!N124</f>
        <v>75</v>
      </c>
      <c r="O86" s="130">
        <f ca="1">Fcast_OP_TO!O124</f>
        <v>75</v>
      </c>
      <c r="P86" s="130">
        <f ca="1">Fcast_OP_TO!P124</f>
        <v>75</v>
      </c>
      <c r="Q86" s="130">
        <f ca="1">Fcast_OP_TO!Q124</f>
        <v>75</v>
      </c>
    </row>
    <row r="87" spans="4:17" s="19" customFormat="1"/>
    <row r="88" spans="4:17" s="19" customFormat="1">
      <c r="D88" s="63" t="s">
        <v>267</v>
      </c>
    </row>
    <row r="89" spans="4:17" s="19" customFormat="1">
      <c r="I89" s="236">
        <f>TS_Proj_Start_Date</f>
        <v>41275</v>
      </c>
    </row>
    <row r="90" spans="4:17" s="19" customFormat="1">
      <c r="E90" s="131" t="str">
        <f>"Opening Dividends Payable ("&amp;INDEX(LU_Denom,DD_TS_Denom)&amp;")"</f>
        <v>Opening Dividends Payable ($Millions)</v>
      </c>
      <c r="I90" s="237">
        <f ca="1">OFFSET(BS_Hist_TO!$I$42,0,TS_Data_Total_Pers)</f>
        <v>0</v>
      </c>
    </row>
    <row r="91" spans="4:17" s="19" customFormat="1"/>
    <row r="92" spans="4:17" s="19" customFormat="1" ht="15.75" customHeight="1">
      <c r="E92" s="66" t="s">
        <v>542</v>
      </c>
      <c r="I92" s="81">
        <v>1</v>
      </c>
    </row>
    <row r="93" spans="4:17" s="19" customFormat="1"/>
    <row r="94" spans="4:17" s="19" customFormat="1">
      <c r="E94" s="66" t="s">
        <v>268</v>
      </c>
      <c r="J94" s="138" t="s">
        <v>86</v>
      </c>
      <c r="K94" s="138" t="s">
        <v>86</v>
      </c>
      <c r="L94" s="138" t="s">
        <v>86</v>
      </c>
      <c r="M94" s="138" t="s">
        <v>86</v>
      </c>
      <c r="N94" s="138" t="s">
        <v>86</v>
      </c>
      <c r="O94" s="138" t="s">
        <v>86</v>
      </c>
      <c r="P94" s="138" t="s">
        <v>86</v>
      </c>
      <c r="Q94" s="138" t="s">
        <v>86</v>
      </c>
    </row>
    <row r="95" spans="4:17" s="19" customFormat="1">
      <c r="E95" s="131" t="str">
        <f>"Dividend Payout Ratio - "&amp;IF(DD_Eq_Ord_Div_Meth=1,INDEX(LU_Eq_Ord_Div_Meth,DD_Eq_Ord_Div_Meth),"Not Applied")</f>
        <v>Dividend Payout Ratio - % of NPAT</v>
      </c>
      <c r="J95" s="64">
        <v>0.5</v>
      </c>
      <c r="K95" s="64">
        <v>0.5</v>
      </c>
      <c r="L95" s="64">
        <v>0.5</v>
      </c>
      <c r="M95" s="64">
        <v>0.5</v>
      </c>
      <c r="N95" s="64">
        <v>0.5</v>
      </c>
      <c r="O95" s="64">
        <v>0.5</v>
      </c>
      <c r="P95" s="64">
        <v>0.5</v>
      </c>
      <c r="Q95" s="64">
        <v>0.5</v>
      </c>
    </row>
    <row r="96" spans="4:17" s="19" customFormat="1">
      <c r="E96" s="131" t="str">
        <f>"Assumed Dividends "&amp;IF(DD_Eq_Ord_Div_Meth=2,"("&amp;INDEX(LU_Denom,DD_TS_Denom)&amp;")","- Not Applied")</f>
        <v>Assumed Dividends - Not Applied</v>
      </c>
      <c r="J96" s="115">
        <v>0</v>
      </c>
      <c r="K96" s="115">
        <v>0</v>
      </c>
      <c r="L96" s="115">
        <v>0</v>
      </c>
      <c r="M96" s="115">
        <v>0</v>
      </c>
      <c r="N96" s="115">
        <v>0</v>
      </c>
      <c r="O96" s="115">
        <v>0</v>
      </c>
      <c r="P96" s="115">
        <v>0</v>
      </c>
      <c r="Q96" s="115">
        <v>0</v>
      </c>
    </row>
    <row r="97" spans="2:9" s="19" customFormat="1"/>
    <row r="98" spans="2:9" s="19" customFormat="1" ht="17.25" customHeight="1">
      <c r="E98" s="81" t="b">
        <v>0</v>
      </c>
    </row>
    <row r="99" spans="2:9" s="19" customFormat="1" ht="17.25" customHeight="1">
      <c r="E99" s="81" t="b">
        <v>0</v>
      </c>
    </row>
    <row r="100" spans="2:9" s="19" customFormat="1"/>
    <row r="101" spans="2:9" s="19" customFormat="1">
      <c r="D101" s="63" t="s">
        <v>203</v>
      </c>
      <c r="E101" s="110"/>
    </row>
    <row r="102" spans="2:9" s="19" customFormat="1">
      <c r="B102" s="110"/>
      <c r="D102" s="82">
        <v>1</v>
      </c>
      <c r="E102" s="66" t="s">
        <v>269</v>
      </c>
    </row>
    <row r="103" spans="2:9" s="19" customFormat="1">
      <c r="B103" s="110"/>
      <c r="D103" s="82">
        <v>2</v>
      </c>
      <c r="E103" s="66" t="s">
        <v>270</v>
      </c>
    </row>
    <row r="104" spans="2:9" s="21" customFormat="1"/>
    <row r="105" spans="2:9" s="21" customFormat="1"/>
    <row r="106" spans="2:9" s="19" customFormat="1" ht="12.75">
      <c r="B106" s="114" t="s">
        <v>405</v>
      </c>
    </row>
    <row r="107" spans="2:9" s="19" customFormat="1"/>
    <row r="108" spans="2:9" s="19" customFormat="1" ht="11.25">
      <c r="C108" s="235" t="str">
        <f>BS_Hist_TA!$D$40</f>
        <v>Tax Payable</v>
      </c>
    </row>
    <row r="109" spans="2:9" s="19" customFormat="1">
      <c r="I109" s="236">
        <f>TS_Proj_Start_Date</f>
        <v>41275</v>
      </c>
    </row>
    <row r="110" spans="2:9" s="170" customFormat="1">
      <c r="D110" s="131" t="str">
        <f>"Opening Tax Payable ("&amp;INDEX(LU_Denom,DD_TS_Denom)&amp;")"</f>
        <v>Opening Tax Payable ($Millions)</v>
      </c>
      <c r="I110" s="237">
        <f ca="1">OFFSET(BS_Hist_TO!$I$40,0,TS_Data_Total_Pers)</f>
        <v>13.484226562500004</v>
      </c>
    </row>
    <row r="111" spans="2:9" s="170" customFormat="1">
      <c r="D111" s="66"/>
    </row>
    <row r="112" spans="2:9" s="19" customFormat="1" ht="11.25">
      <c r="C112" s="62" t="s">
        <v>1</v>
      </c>
    </row>
    <row r="113" spans="2:12" s="19" customFormat="1"/>
    <row r="114" spans="2:12" s="19" customFormat="1">
      <c r="D114" s="66" t="s">
        <v>2</v>
      </c>
      <c r="I114" s="64">
        <v>0.3</v>
      </c>
    </row>
    <row r="115" spans="2:12" s="19" customFormat="1"/>
    <row r="116" spans="2:12" s="19" customFormat="1">
      <c r="C116" s="63" t="s">
        <v>203</v>
      </c>
      <c r="D116" s="110"/>
    </row>
    <row r="117" spans="2:12" s="19" customFormat="1">
      <c r="B117" s="110"/>
      <c r="C117" s="82">
        <v>1</v>
      </c>
      <c r="D117" s="66" t="s">
        <v>476</v>
      </c>
    </row>
    <row r="118" spans="2:12" s="21" customFormat="1">
      <c r="C118" s="82">
        <v>2</v>
      </c>
      <c r="D118" s="66" t="s">
        <v>417</v>
      </c>
    </row>
    <row r="119" spans="2:12" s="21" customFormat="1" ht="10.5" customHeight="1">
      <c r="C119" s="82">
        <v>3</v>
      </c>
      <c r="D119" s="251" t="s">
        <v>478</v>
      </c>
      <c r="E119" s="250"/>
      <c r="F119" s="250"/>
      <c r="G119" s="250"/>
      <c r="H119" s="250"/>
      <c r="I119" s="250"/>
      <c r="J119" s="250"/>
      <c r="K119" s="250"/>
      <c r="L119" s="175"/>
    </row>
    <row r="120" spans="2:12" s="21" customFormat="1">
      <c r="D120" s="250"/>
      <c r="E120" s="250"/>
      <c r="F120" s="250"/>
      <c r="G120" s="250"/>
      <c r="H120" s="250"/>
      <c r="I120" s="250"/>
      <c r="J120" s="250"/>
      <c r="K120" s="250"/>
      <c r="L120" s="175"/>
    </row>
    <row r="121" spans="2:12" s="21" customFormat="1"/>
    <row r="122" spans="2:12" s="21" customFormat="1"/>
    <row r="123" spans="2:12" s="21" customFormat="1" ht="12.75">
      <c r="B123" s="114" t="s">
        <v>568</v>
      </c>
    </row>
    <row r="124" spans="2:12" s="21" customFormat="1"/>
    <row r="125" spans="2:12" s="21" customFormat="1" ht="11.25">
      <c r="C125" s="62" t="s">
        <v>488</v>
      </c>
    </row>
    <row r="126" spans="2:12" s="21" customFormat="1"/>
    <row r="127" spans="2:12" s="170" customFormat="1">
      <c r="D127" s="66" t="s">
        <v>279</v>
      </c>
      <c r="I127" s="237">
        <f ca="1">OFFSET(BS_Hist_TO!$I$22,0,TS_Data_Total_Pers)</f>
        <v>24.635307976188827</v>
      </c>
    </row>
    <row r="128" spans="2:12" s="205" customFormat="1">
      <c r="D128" s="66"/>
      <c r="I128" s="232"/>
    </row>
    <row r="129" spans="2:17" s="205" customFormat="1" ht="11.25">
      <c r="C129" s="62" t="s">
        <v>39</v>
      </c>
      <c r="D129" s="66"/>
      <c r="I129" s="232"/>
    </row>
    <row r="130" spans="2:17" s="205" customFormat="1">
      <c r="D130" s="66"/>
      <c r="I130" s="232"/>
    </row>
    <row r="131" spans="2:17" s="205" customFormat="1">
      <c r="D131" s="66" t="s">
        <v>277</v>
      </c>
      <c r="I131" s="237">
        <f ca="1">OFFSET(BS_Hist_TO!$I$64,0,TS_Data_Total_Pers)</f>
        <v>46.399527878852751</v>
      </c>
    </row>
    <row r="132" spans="2:17" s="21" customFormat="1"/>
    <row r="133" spans="2:17" s="21" customFormat="1" ht="11.25">
      <c r="C133" s="62" t="s">
        <v>546</v>
      </c>
      <c r="I133" s="207" t="s">
        <v>531</v>
      </c>
    </row>
    <row r="134" spans="2:17" s="21" customFormat="1">
      <c r="I134" s="236">
        <f>TS_Proj_Start_Date</f>
        <v>41275</v>
      </c>
    </row>
    <row r="135" spans="2:17" s="21" customFormat="1">
      <c r="D135" s="192" t="str">
        <f>BS_Hist_TA!$D$24</f>
        <v>Other Current Assets</v>
      </c>
      <c r="I135" s="237">
        <f ca="1">OFFSET(BS_Hist_TO!$I$24,0,TS_Data_Total_Pers)</f>
        <v>5</v>
      </c>
      <c r="J135" s="115">
        <v>3</v>
      </c>
      <c r="K135" s="115">
        <v>4</v>
      </c>
      <c r="L135" s="115">
        <v>5</v>
      </c>
      <c r="M135" s="115">
        <v>6</v>
      </c>
      <c r="N135" s="115">
        <v>7</v>
      </c>
      <c r="O135" s="115">
        <v>8</v>
      </c>
      <c r="P135" s="115">
        <v>9</v>
      </c>
      <c r="Q135" s="115">
        <v>10</v>
      </c>
    </row>
    <row r="136" spans="2:17" s="21" customFormat="1">
      <c r="D136" s="192" t="str">
        <f>BS_Hist_TA!$D$32</f>
        <v>Other Non-Current Assets</v>
      </c>
      <c r="I136" s="237">
        <f ca="1">OFFSET(BS_Hist_TO!$I$32,0,TS_Data_Total_Pers)</f>
        <v>6</v>
      </c>
      <c r="J136" s="115">
        <v>4</v>
      </c>
      <c r="K136" s="115">
        <v>5</v>
      </c>
      <c r="L136" s="115">
        <v>6</v>
      </c>
      <c r="M136" s="115">
        <v>7</v>
      </c>
      <c r="N136" s="115">
        <v>8</v>
      </c>
      <c r="O136" s="115">
        <v>9</v>
      </c>
      <c r="P136" s="115">
        <v>10</v>
      </c>
      <c r="Q136" s="115">
        <v>11</v>
      </c>
    </row>
    <row r="137" spans="2:17" s="21" customFormat="1">
      <c r="D137" s="192" t="str">
        <f>BS_Hist_TA!$D$43</f>
        <v>Other Current Liabilities</v>
      </c>
      <c r="I137" s="237">
        <f ca="1">OFFSET(BS_Hist_TO!$I$43,0,TS_Data_Total_Pers)</f>
        <v>7</v>
      </c>
      <c r="J137" s="115">
        <v>5</v>
      </c>
      <c r="K137" s="115">
        <v>6</v>
      </c>
      <c r="L137" s="115">
        <v>7</v>
      </c>
      <c r="M137" s="115">
        <v>8</v>
      </c>
      <c r="N137" s="115">
        <v>9</v>
      </c>
      <c r="O137" s="115">
        <v>10</v>
      </c>
      <c r="P137" s="115">
        <v>11</v>
      </c>
      <c r="Q137" s="115">
        <v>12</v>
      </c>
    </row>
    <row r="138" spans="2:17" s="21" customFormat="1">
      <c r="D138" s="192" t="str">
        <f>BS_Hist_TA!$D$50</f>
        <v>Other Non-Current Liabilities</v>
      </c>
      <c r="I138" s="237">
        <f ca="1">OFFSET(BS_Hist_TO!$I$50,0,TS_Data_Total_Pers)</f>
        <v>8</v>
      </c>
      <c r="J138" s="115">
        <v>6</v>
      </c>
      <c r="K138" s="115">
        <v>7</v>
      </c>
      <c r="L138" s="115">
        <v>8</v>
      </c>
      <c r="M138" s="115">
        <v>9</v>
      </c>
      <c r="N138" s="115">
        <v>10</v>
      </c>
      <c r="O138" s="115">
        <v>11</v>
      </c>
      <c r="P138" s="115">
        <v>12</v>
      </c>
      <c r="Q138" s="115">
        <v>13</v>
      </c>
    </row>
    <row r="139" spans="2:17" s="205" customFormat="1">
      <c r="D139" s="192" t="str">
        <f>BS_Hist_TA!$D$60</f>
        <v>Other Equity</v>
      </c>
      <c r="I139" s="237">
        <f ca="1">OFFSET(BS_Hist_TO!$I$60,0,TS_Data_Total_Pers)</f>
        <v>5</v>
      </c>
      <c r="J139" s="115">
        <v>5.0999999999999996</v>
      </c>
      <c r="K139" s="115">
        <v>5.1999999999999993</v>
      </c>
      <c r="L139" s="115">
        <v>5.2999999999999989</v>
      </c>
      <c r="M139" s="115">
        <v>5.3999999999999986</v>
      </c>
      <c r="N139" s="115">
        <v>5.4999999999999982</v>
      </c>
      <c r="O139" s="115">
        <v>5.5999999999999979</v>
      </c>
      <c r="P139" s="115">
        <v>5.6999999999999975</v>
      </c>
      <c r="Q139" s="115">
        <v>5.7999999999999972</v>
      </c>
    </row>
    <row r="140" spans="2:17" s="21" customFormat="1"/>
    <row r="141" spans="2:17" s="21" customFormat="1">
      <c r="D141" s="63" t="s">
        <v>203</v>
      </c>
      <c r="E141" s="170"/>
    </row>
    <row r="142" spans="2:17" s="21" customFormat="1">
      <c r="B142" s="205"/>
      <c r="C142" s="205"/>
      <c r="D142" s="82">
        <v>1</v>
      </c>
      <c r="E142" s="131" t="str">
        <f>"Balance sheet items are specified in "&amp;INDEX(LU_Denom,DD_TS_Denom)&amp;"."</f>
        <v>Balance sheet items are specified in $Millions.</v>
      </c>
      <c r="F142" s="205"/>
    </row>
    <row r="143" spans="2:17" s="21" customFormat="1">
      <c r="D143" s="82">
        <v>2</v>
      </c>
      <c r="E143" s="66" t="s">
        <v>486</v>
      </c>
    </row>
    <row r="144" spans="2:17" s="21" customFormat="1">
      <c r="D144" s="82">
        <v>3</v>
      </c>
      <c r="E144" s="66" t="s">
        <v>487</v>
      </c>
    </row>
    <row r="145" spans="4:5" s="21" customFormat="1">
      <c r="D145" s="82">
        <v>3</v>
      </c>
      <c r="E145" s="66" t="s">
        <v>558</v>
      </c>
    </row>
    <row r="146" spans="4:5" s="21" customFormat="1"/>
    <row r="147" spans="4:5" s="21" customFormat="1"/>
    <row r="148" spans="4:5" s="21" customFormat="1"/>
    <row r="149" spans="4:5" s="21" customFormat="1"/>
    <row r="150" spans="4:5" s="21" customFormat="1"/>
    <row r="151" spans="4:5" s="21" customFormat="1"/>
    <row r="152" spans="4:5" s="21" customFormat="1"/>
    <row r="153" spans="4:5" s="21" customFormat="1"/>
    <row r="154" spans="4:5" s="21" customFormat="1"/>
    <row r="155" spans="4:5" s="21" customFormat="1"/>
    <row r="156" spans="4:5" s="21" customFormat="1"/>
    <row r="157" spans="4:5" s="21" customFormat="1"/>
    <row r="158" spans="4:5" s="21" customFormat="1"/>
    <row r="159" spans="4:5" s="21" customFormat="1"/>
    <row r="160" spans="4:5"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461</v>
      </c>
    </row>
    <row r="18" spans="3:3">
      <c r="C18" s="27" t="s">
        <v>392</v>
      </c>
    </row>
    <row r="19" spans="3:3">
      <c r="C19" s="27"/>
    </row>
    <row r="20" spans="3:3">
      <c r="C20" s="27"/>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535</v>
      </c>
    </row>
    <row r="10" spans="3:7" ht="16.5">
      <c r="C10" s="28" t="s">
        <v>509</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499</v>
      </c>
    </row>
    <row r="18" spans="3:3">
      <c r="C18" s="187" t="s">
        <v>536</v>
      </c>
    </row>
    <row r="19" spans="3:3">
      <c r="C19" s="187"/>
    </row>
    <row r="20" spans="3:3">
      <c r="C20" s="187"/>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5"/>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3" max="17" width="12.83203125" customWidth="1"/>
  </cols>
  <sheetData>
    <row r="1" spans="1:17" ht="18">
      <c r="B1" s="1" t="s">
        <v>537</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IS_Hist_TA!B16</f>
        <v>Income Statement</v>
      </c>
    </row>
    <row r="17" spans="3:17" s="25" customFormat="1"/>
    <row r="18" spans="3:17" s="25" customFormat="1">
      <c r="D18" s="186" t="str">
        <f>IS_Hist_TA!D18</f>
        <v>Revenue</v>
      </c>
      <c r="J18" s="220">
        <f>IF(J$12=0,0,IS_Hist_TA!J18)</f>
        <v>125</v>
      </c>
      <c r="K18" s="220">
        <f>IF(K$12=0,0,IS_Hist_TA!K18)</f>
        <v>128.125</v>
      </c>
      <c r="L18" s="220">
        <f>IF(L$12=0,0,IS_Hist_TA!L18)</f>
        <v>131.328125</v>
      </c>
      <c r="M18" s="220">
        <f>IF(M$12=0,0,IS_Hist_TA!M18)</f>
        <v>0</v>
      </c>
      <c r="N18" s="220">
        <f>IF(N$12=0,0,IS_Hist_TA!N18)</f>
        <v>0</v>
      </c>
      <c r="O18" s="220">
        <f>IF(O$12=0,0,IS_Hist_TA!O18)</f>
        <v>0</v>
      </c>
      <c r="P18" s="220">
        <f>IF(P$12=0,0,IS_Hist_TA!P18)</f>
        <v>0</v>
      </c>
      <c r="Q18" s="220">
        <f>IF(Q$12=0,0,IS_Hist_TA!Q18)</f>
        <v>0</v>
      </c>
    </row>
    <row r="19" spans="3:17" s="25" customFormat="1">
      <c r="D19" s="186" t="str">
        <f>IS_Hist_TA!D19</f>
        <v>Cost of Goods Sold</v>
      </c>
      <c r="J19" s="220">
        <f>IF(J$12=0,0,IS_Hist_TA!J19)</f>
        <v>-25</v>
      </c>
      <c r="K19" s="220">
        <f>IF(K$12=0,0,IS_Hist_TA!K19)</f>
        <v>-25.624999999999996</v>
      </c>
      <c r="L19" s="220">
        <f>IF(L$12=0,0,IS_Hist_TA!L19)</f>
        <v>-26.265624999999993</v>
      </c>
      <c r="M19" s="220">
        <f>IF(M$12=0,0,IS_Hist_TA!M19)</f>
        <v>0</v>
      </c>
      <c r="N19" s="220">
        <f>IF(N$12=0,0,IS_Hist_TA!N19)</f>
        <v>0</v>
      </c>
      <c r="O19" s="220">
        <f>IF(O$12=0,0,IS_Hist_TA!O19)</f>
        <v>0</v>
      </c>
      <c r="P19" s="220">
        <f>IF(P$12=0,0,IS_Hist_TA!P19)</f>
        <v>0</v>
      </c>
      <c r="Q19" s="220">
        <f>IF(Q$12=0,0,IS_Hist_TA!Q19)</f>
        <v>0</v>
      </c>
    </row>
    <row r="20" spans="3:17" s="25" customFormat="1">
      <c r="J20" s="144"/>
      <c r="K20" s="144"/>
      <c r="L20" s="144"/>
      <c r="M20" s="144"/>
      <c r="N20" s="144"/>
      <c r="O20" s="144"/>
      <c r="P20" s="144"/>
      <c r="Q20" s="144"/>
    </row>
    <row r="21" spans="3:17" s="25" customFormat="1" ht="11.25">
      <c r="C21" s="217" t="str">
        <f>IS_Hist_TA!C21</f>
        <v>Gross Margin</v>
      </c>
      <c r="J21" s="212">
        <f t="shared" ref="J21" si="8">J18+J19</f>
        <v>100</v>
      </c>
      <c r="K21" s="212">
        <f t="shared" ref="K21:Q21" si="9">K18+K19</f>
        <v>102.5</v>
      </c>
      <c r="L21" s="212">
        <f t="shared" si="9"/>
        <v>105.0625</v>
      </c>
      <c r="M21" s="212">
        <f t="shared" si="9"/>
        <v>0</v>
      </c>
      <c r="N21" s="212">
        <f t="shared" si="9"/>
        <v>0</v>
      </c>
      <c r="O21" s="212">
        <f t="shared" si="9"/>
        <v>0</v>
      </c>
      <c r="P21" s="212">
        <f t="shared" si="9"/>
        <v>0</v>
      </c>
      <c r="Q21" s="212">
        <f t="shared" si="9"/>
        <v>0</v>
      </c>
    </row>
    <row r="22" spans="3:17" s="25" customFormat="1">
      <c r="J22" s="144"/>
      <c r="K22" s="144"/>
      <c r="L22" s="144"/>
      <c r="M22" s="144"/>
      <c r="N22" s="144"/>
      <c r="O22" s="144"/>
      <c r="P22" s="144"/>
      <c r="Q22" s="144"/>
    </row>
    <row r="23" spans="3:17" s="25" customFormat="1">
      <c r="D23" s="186" t="str">
        <f>IS_Hist_TA!D23</f>
        <v>Operating Expenditure</v>
      </c>
      <c r="J23" s="220">
        <f>IF(J$12=0,0,IS_Hist_TA!J23)</f>
        <v>-40</v>
      </c>
      <c r="K23" s="220">
        <f>IF(K$12=0,0,IS_Hist_TA!K23)</f>
        <v>-41</v>
      </c>
      <c r="L23" s="220">
        <f>IF(L$12=0,0,IS_Hist_TA!L23)</f>
        <v>-42.024999999999999</v>
      </c>
      <c r="M23" s="220">
        <f>IF(M$12=0,0,IS_Hist_TA!M23)</f>
        <v>0</v>
      </c>
      <c r="N23" s="220">
        <f>IF(N$12=0,0,IS_Hist_TA!N23)</f>
        <v>0</v>
      </c>
      <c r="O23" s="220">
        <f>IF(O$12=0,0,IS_Hist_TA!O23)</f>
        <v>0</v>
      </c>
      <c r="P23" s="220">
        <f>IF(P$12=0,0,IS_Hist_TA!P23)</f>
        <v>0</v>
      </c>
      <c r="Q23" s="220">
        <f>IF(Q$12=0,0,IS_Hist_TA!Q23)</f>
        <v>0</v>
      </c>
    </row>
    <row r="24" spans="3:17" s="25" customFormat="1">
      <c r="J24" s="144"/>
      <c r="K24" s="144"/>
      <c r="L24" s="144"/>
      <c r="M24" s="144"/>
      <c r="N24" s="144"/>
      <c r="O24" s="144"/>
      <c r="P24" s="144"/>
      <c r="Q24" s="144"/>
    </row>
    <row r="25" spans="3:17" s="25" customFormat="1" ht="11.25">
      <c r="C25" s="217" t="str">
        <f>IS_Hist_TA!C25</f>
        <v>EBITDA</v>
      </c>
      <c r="J25" s="212">
        <f t="shared" ref="J25" si="10">J21+J23</f>
        <v>60</v>
      </c>
      <c r="K25" s="212">
        <f t="shared" ref="K25:Q25" si="11">K21+K23</f>
        <v>61.5</v>
      </c>
      <c r="L25" s="212">
        <f t="shared" si="11"/>
        <v>63.037500000000001</v>
      </c>
      <c r="M25" s="212">
        <f t="shared" si="11"/>
        <v>0</v>
      </c>
      <c r="N25" s="212">
        <f t="shared" si="11"/>
        <v>0</v>
      </c>
      <c r="O25" s="212">
        <f t="shared" si="11"/>
        <v>0</v>
      </c>
      <c r="P25" s="212">
        <f t="shared" si="11"/>
        <v>0</v>
      </c>
      <c r="Q25" s="212">
        <f t="shared" si="11"/>
        <v>0</v>
      </c>
    </row>
    <row r="26" spans="3:17" s="25" customFormat="1">
      <c r="J26" s="144"/>
      <c r="K26" s="144"/>
      <c r="L26" s="144"/>
      <c r="M26" s="144"/>
      <c r="N26" s="144"/>
      <c r="O26" s="144"/>
      <c r="P26" s="144"/>
      <c r="Q26" s="144"/>
    </row>
    <row r="27" spans="3:17" s="25" customFormat="1" hidden="1" outlineLevel="2">
      <c r="E27" s="186"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5" customFormat="1" hidden="1" outlineLevel="2">
      <c r="E28" s="186"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186" t="str">
        <f>IS_Hist_TA!D29</f>
        <v>Depreciation &amp; Amortization</v>
      </c>
      <c r="J29" s="220">
        <f>IF(J$12=0,0,IS_Hist_TA!J29)</f>
        <v>-14.125</v>
      </c>
      <c r="K29" s="220">
        <f>IF(K$12=0,0,IS_Hist_TA!K29)</f>
        <v>-14.478124999999999</v>
      </c>
      <c r="L29" s="220">
        <f>IF(L$12=0,0,IS_Hist_TA!L29)</f>
        <v>-14.840078124999996</v>
      </c>
      <c r="M29" s="220">
        <f>IF(M$12=0,0,IS_Hist_TA!M29)</f>
        <v>0</v>
      </c>
      <c r="N29" s="220">
        <f>IF(N$12=0,0,IS_Hist_TA!N29)</f>
        <v>0</v>
      </c>
      <c r="O29" s="220">
        <f>IF(O$12=0,0,IS_Hist_TA!O29)</f>
        <v>0</v>
      </c>
      <c r="P29" s="220">
        <f>IF(P$12=0,0,IS_Hist_TA!P29)</f>
        <v>0</v>
      </c>
      <c r="Q29" s="220">
        <f>IF(Q$12=0,0,IS_Hist_TA!Q29)</f>
        <v>0</v>
      </c>
    </row>
    <row r="30" spans="3:17" s="25" customFormat="1">
      <c r="J30" s="144"/>
      <c r="K30" s="144"/>
      <c r="L30" s="144"/>
      <c r="M30" s="144"/>
      <c r="N30" s="144"/>
      <c r="O30" s="144"/>
      <c r="P30" s="144"/>
      <c r="Q30" s="144"/>
    </row>
    <row r="31" spans="3:17" s="25" customFormat="1" ht="11.25">
      <c r="C31" s="217" t="str">
        <f>IS_Hist_TA!C31</f>
        <v>EBIT</v>
      </c>
      <c r="J31" s="212">
        <f t="shared" ref="J31" si="12">J25+J29</f>
        <v>45.875</v>
      </c>
      <c r="K31" s="212">
        <f t="shared" ref="K31:Q31" si="13">K25+K29</f>
        <v>47.021875000000001</v>
      </c>
      <c r="L31" s="212">
        <f t="shared" si="13"/>
        <v>48.197421875000003</v>
      </c>
      <c r="M31" s="212">
        <f t="shared" si="13"/>
        <v>0</v>
      </c>
      <c r="N31" s="212">
        <f t="shared" si="13"/>
        <v>0</v>
      </c>
      <c r="O31" s="212">
        <f t="shared" si="13"/>
        <v>0</v>
      </c>
      <c r="P31" s="212">
        <f t="shared" si="13"/>
        <v>0</v>
      </c>
      <c r="Q31" s="212">
        <f t="shared" si="13"/>
        <v>0</v>
      </c>
    </row>
    <row r="32" spans="3:17" s="25" customFormat="1">
      <c r="J32" s="144"/>
      <c r="K32" s="144"/>
      <c r="L32" s="144"/>
      <c r="M32" s="144"/>
      <c r="N32" s="144"/>
      <c r="O32" s="144"/>
      <c r="P32" s="144"/>
      <c r="Q32" s="144"/>
    </row>
    <row r="33" spans="3:17" s="25" customFormat="1">
      <c r="D33" s="186" t="str">
        <f>IS_Hist_TA!D33</f>
        <v>Interest Expense</v>
      </c>
      <c r="J33" s="220">
        <f>IF(J$12=0,0,IS_Hist_TA!J33)</f>
        <v>-3.25</v>
      </c>
      <c r="K33" s="220">
        <f>IF(K$12=0,0,IS_Hist_TA!K33)</f>
        <v>-3.25</v>
      </c>
      <c r="L33" s="220">
        <f>IF(L$12=0,0,IS_Hist_TA!L33)</f>
        <v>-3.25</v>
      </c>
      <c r="M33" s="220">
        <f>IF(M$12=0,0,IS_Hist_TA!M33)</f>
        <v>0</v>
      </c>
      <c r="N33" s="220">
        <f>IF(N$12=0,0,IS_Hist_TA!N33)</f>
        <v>0</v>
      </c>
      <c r="O33" s="220">
        <f>IF(O$12=0,0,IS_Hist_TA!O33)</f>
        <v>0</v>
      </c>
      <c r="P33" s="220">
        <f>IF(P$12=0,0,IS_Hist_TA!P33)</f>
        <v>0</v>
      </c>
      <c r="Q33" s="220">
        <f>IF(Q$12=0,0,IS_Hist_TA!Q33)</f>
        <v>0</v>
      </c>
    </row>
    <row r="34" spans="3:17" s="25" customFormat="1">
      <c r="J34" s="144"/>
      <c r="K34" s="144"/>
      <c r="L34" s="144"/>
      <c r="M34" s="144"/>
      <c r="N34" s="144"/>
      <c r="O34" s="144"/>
      <c r="P34" s="144"/>
      <c r="Q34" s="144"/>
    </row>
    <row r="35" spans="3:17" s="25" customFormat="1" ht="11.25">
      <c r="C35" s="217" t="str">
        <f>IS_Hist_TA!C35</f>
        <v>Net Profit Before Tax</v>
      </c>
      <c r="J35" s="212">
        <f t="shared" ref="J35" si="14">J31+J33</f>
        <v>42.625</v>
      </c>
      <c r="K35" s="212">
        <f t="shared" ref="K35:Q35" si="15">K31+K33</f>
        <v>43.771875000000001</v>
      </c>
      <c r="L35" s="212">
        <f t="shared" si="15"/>
        <v>44.947421875000003</v>
      </c>
      <c r="M35" s="212">
        <f t="shared" si="15"/>
        <v>0</v>
      </c>
      <c r="N35" s="212">
        <f t="shared" si="15"/>
        <v>0</v>
      </c>
      <c r="O35" s="212">
        <f t="shared" si="15"/>
        <v>0</v>
      </c>
      <c r="P35" s="212">
        <f t="shared" si="15"/>
        <v>0</v>
      </c>
      <c r="Q35" s="212">
        <f t="shared" si="15"/>
        <v>0</v>
      </c>
    </row>
    <row r="36" spans="3:17" s="25" customFormat="1">
      <c r="J36" s="144"/>
      <c r="K36" s="144"/>
      <c r="L36" s="144"/>
      <c r="M36" s="144"/>
      <c r="N36" s="144"/>
      <c r="O36" s="144"/>
      <c r="P36" s="144"/>
      <c r="Q36" s="144"/>
    </row>
    <row r="37" spans="3:17" s="25" customFormat="1">
      <c r="D37" s="186" t="str">
        <f>IS_Hist_TA!D37</f>
        <v>Tax Expense / (Benefit)</v>
      </c>
      <c r="J37" s="220">
        <f>IF(J$12=0,0,IS_Hist_TA!J37)</f>
        <v>-12.7875</v>
      </c>
      <c r="K37" s="220">
        <f>IF(K$12=0,0,IS_Hist_TA!K37)</f>
        <v>-13.131562499999999</v>
      </c>
      <c r="L37" s="220">
        <f>IF(L$12=0,0,IS_Hist_TA!L37)</f>
        <v>-13.4842265625</v>
      </c>
      <c r="M37" s="220">
        <f>IF(M$12=0,0,IS_Hist_TA!M37)</f>
        <v>0</v>
      </c>
      <c r="N37" s="220">
        <f>IF(N$12=0,0,IS_Hist_TA!N37)</f>
        <v>0</v>
      </c>
      <c r="O37" s="220">
        <f>IF(O$12=0,0,IS_Hist_TA!O37)</f>
        <v>0</v>
      </c>
      <c r="P37" s="220">
        <f>IF(P$12=0,0,IS_Hist_TA!P37)</f>
        <v>0</v>
      </c>
      <c r="Q37" s="220">
        <f>IF(Q$12=0,0,IS_Hist_TA!Q37)</f>
        <v>0</v>
      </c>
    </row>
    <row r="38" spans="3:17" s="25" customFormat="1">
      <c r="J38" s="144"/>
      <c r="K38" s="144"/>
      <c r="L38" s="144"/>
      <c r="M38" s="144"/>
      <c r="N38" s="144"/>
      <c r="O38" s="144"/>
      <c r="P38" s="144"/>
      <c r="Q38" s="144"/>
    </row>
    <row r="39" spans="3:17" s="25" customFormat="1" ht="12.75" thickBot="1">
      <c r="C39" s="218" t="str">
        <f>IS_Hist_TA!C39</f>
        <v>Net Profit After Tax</v>
      </c>
      <c r="J39" s="214">
        <f t="shared" ref="J39" si="16">J35+J37</f>
        <v>29.837499999999999</v>
      </c>
      <c r="K39" s="214">
        <f t="shared" ref="K39:Q39" si="17">K35+K37</f>
        <v>30.6403125</v>
      </c>
      <c r="L39" s="214">
        <f t="shared" si="17"/>
        <v>31.463195312500005</v>
      </c>
      <c r="M39" s="214">
        <f t="shared" si="17"/>
        <v>0</v>
      </c>
      <c r="N39" s="214">
        <f t="shared" si="17"/>
        <v>0</v>
      </c>
      <c r="O39" s="214">
        <f t="shared" si="17"/>
        <v>0</v>
      </c>
      <c r="P39" s="214">
        <f t="shared" si="17"/>
        <v>0</v>
      </c>
      <c r="Q39" s="214">
        <f t="shared" si="17"/>
        <v>0</v>
      </c>
    </row>
    <row r="40" spans="3:17" s="25" customFormat="1" ht="11.25" thickTop="1"/>
    <row r="41" spans="3:17" s="25" customFormat="1">
      <c r="C41" s="260" t="str">
        <f>"Go to "&amp;IS_Hist_TA!$B$1</f>
        <v>Go to Income Statement - Historical Assumptions</v>
      </c>
      <c r="D41" s="264"/>
      <c r="E41" s="264"/>
      <c r="F41" s="264"/>
      <c r="G41" s="264"/>
      <c r="H41" s="264"/>
      <c r="I41" s="264"/>
    </row>
    <row r="42" spans="3:17" s="25" customFormat="1"/>
    <row r="43" spans="3:17" s="25" customFormat="1">
      <c r="C43" s="180" t="str">
        <f>IS_Hist_TA!C43</f>
        <v>Notes</v>
      </c>
    </row>
    <row r="44" spans="3:17" s="25" customFormat="1">
      <c r="C44" s="219">
        <f>IS_Hist_TA!C44</f>
        <v>1</v>
      </c>
      <c r="D44" s="215" t="str">
        <f>"All revenues and expenses are specified in "&amp;INDEX(LU_Denom,DD_TS_Denom)&amp;"."</f>
        <v>All revenues and expenses are specified in $Millions.</v>
      </c>
    </row>
    <row r="45" spans="3:17" s="25" customFormat="1">
      <c r="C45" s="219">
        <f>IS_Hist_TA!C45</f>
        <v>2</v>
      </c>
      <c r="D45" s="185" t="s">
        <v>540</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C41:I41" location="HL_Sheet_Main_21" tooltip="Go to Income Statement - Historical Assumptions" display="HL_Sheet_Main_21"/>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9"/>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3" max="17" width="12.83203125" customWidth="1"/>
  </cols>
  <sheetData>
    <row r="1" spans="1:17" ht="18">
      <c r="B1" s="1" t="s">
        <v>538</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I6" s="16"/>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I8" s="16"/>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BS_Hist_TA!B16</f>
        <v>Balance Sheet</v>
      </c>
      <c r="I16" s="227" t="s">
        <v>531</v>
      </c>
    </row>
    <row r="17" spans="3:17" s="25" customFormat="1">
      <c r="I17" s="228">
        <f>TS_Start_Date</f>
        <v>40179</v>
      </c>
    </row>
    <row r="18" spans="3:17" s="25" customFormat="1" ht="11.25">
      <c r="C18" s="217" t="str">
        <f>BS_Hist_TA!C18</f>
        <v>Current Assets</v>
      </c>
    </row>
    <row r="19" spans="3:17" s="25" customFormat="1"/>
    <row r="20" spans="3:17" s="25" customFormat="1" hidden="1" outlineLevel="2">
      <c r="E20" s="229" t="str">
        <f>BS_Hist_TA!E20</f>
        <v>Opening Cash at Bank</v>
      </c>
      <c r="J20" s="144">
        <f>IF(J$12=0,0,I22)</f>
        <v>5</v>
      </c>
      <c r="K20" s="144">
        <f t="shared" ref="K20" si="8">IF(K$12=0,0,J22)</f>
        <v>7.5</v>
      </c>
      <c r="L20" s="144">
        <f t="shared" ref="L20" si="9">IF(L$12=0,0,K22)</f>
        <v>12.148336900684967</v>
      </c>
      <c r="M20" s="144">
        <f t="shared" ref="M20" si="10">IF(M$12=0,0,L22)</f>
        <v>0</v>
      </c>
      <c r="N20" s="144">
        <f t="shared" ref="N20" si="11">IF(N$12=0,0,M22)</f>
        <v>0</v>
      </c>
      <c r="O20" s="144">
        <f t="shared" ref="O20" si="12">IF(O$12=0,0,N22)</f>
        <v>0</v>
      </c>
      <c r="P20" s="144">
        <f t="shared" ref="P20" si="13">IF(P$12=0,0,O22)</f>
        <v>0</v>
      </c>
      <c r="Q20" s="144">
        <f t="shared" ref="Q20" si="14">IF(Q$12=0,0,P22)</f>
        <v>0</v>
      </c>
    </row>
    <row r="21" spans="3:17" s="25" customFormat="1" hidden="1" outlineLevel="2">
      <c r="E21" s="229" t="str">
        <f>BS_Hist_TA!E21</f>
        <v>Change in Cash at Bank</v>
      </c>
      <c r="J21" s="144">
        <f>J22-J20</f>
        <v>2.5</v>
      </c>
      <c r="K21" s="144">
        <f t="shared" ref="K21:Q21" si="15">K22-K20</f>
        <v>4.6483369006849671</v>
      </c>
      <c r="L21" s="144">
        <f t="shared" si="15"/>
        <v>12.48697107550386</v>
      </c>
      <c r="M21" s="144">
        <f t="shared" si="15"/>
        <v>0</v>
      </c>
      <c r="N21" s="144">
        <f t="shared" si="15"/>
        <v>0</v>
      </c>
      <c r="O21" s="144">
        <f t="shared" si="15"/>
        <v>0</v>
      </c>
      <c r="P21" s="144">
        <f t="shared" si="15"/>
        <v>0</v>
      </c>
      <c r="Q21" s="144">
        <f t="shared" si="15"/>
        <v>0</v>
      </c>
    </row>
    <row r="22" spans="3:17" s="25" customFormat="1" collapsed="1">
      <c r="D22" s="186" t="str">
        <f>BS_Hist_TA!D22</f>
        <v>Cash at Bank</v>
      </c>
      <c r="I22" s="220">
        <f>IF(ISBLANK(I$12),BS_Hist_TA!I22,IF(I$12=0,0,BS_Hist_TA!I22))</f>
        <v>5</v>
      </c>
      <c r="J22" s="220">
        <f>IF(ISBLANK(J$12),BS_Hist_TA!J22,IF(J$12=0,0,BS_Hist_TA!J22))</f>
        <v>7.5</v>
      </c>
      <c r="K22" s="220">
        <f>IF(ISBLANK(K$12),BS_Hist_TA!K22,IF(K$12=0,0,BS_Hist_TA!K22))</f>
        <v>12.148336900684967</v>
      </c>
      <c r="L22" s="220">
        <f>IF(ISBLANK(L$12),BS_Hist_TA!L22,IF(L$12=0,0,BS_Hist_TA!L22))</f>
        <v>24.635307976188827</v>
      </c>
      <c r="M22" s="220">
        <f>IF(ISBLANK(M$12),BS_Hist_TA!M22,IF(M$12=0,0,BS_Hist_TA!M22))</f>
        <v>0</v>
      </c>
      <c r="N22" s="220">
        <f>IF(ISBLANK(N$12),BS_Hist_TA!N22,IF(N$12=0,0,BS_Hist_TA!N22))</f>
        <v>0</v>
      </c>
      <c r="O22" s="220">
        <f>IF(ISBLANK(O$12),BS_Hist_TA!O22,IF(O$12=0,0,BS_Hist_TA!O22))</f>
        <v>0</v>
      </c>
      <c r="P22" s="220">
        <f>IF(ISBLANK(P$12),BS_Hist_TA!P22,IF(P$12=0,0,BS_Hist_TA!P22))</f>
        <v>0</v>
      </c>
      <c r="Q22" s="220">
        <f>IF(ISBLANK(Q$12),BS_Hist_TA!Q22,IF(Q$12=0,0,BS_Hist_TA!Q22))</f>
        <v>0</v>
      </c>
    </row>
    <row r="23" spans="3:17" s="25" customFormat="1">
      <c r="D23" s="186" t="str">
        <f>BS_Hist_TA!D23</f>
        <v>Accounts Receivable</v>
      </c>
      <c r="I23" s="220">
        <f>IF(ISBLANK(I$12),BS_Hist_TA!I23,IF(I$12=0,0,BS_Hist_TA!I23))</f>
        <v>10.273972602739725</v>
      </c>
      <c r="J23" s="220">
        <f>IF(ISBLANK(J$12),BS_Hist_TA!J23,IF(J$12=0,0,BS_Hist_TA!J23))</f>
        <v>10.273972602739725</v>
      </c>
      <c r="K23" s="220">
        <f>IF(ISBLANK(K$12),BS_Hist_TA!K23,IF(K$12=0,0,BS_Hist_TA!K23))</f>
        <v>10.530821917808218</v>
      </c>
      <c r="L23" s="220">
        <f>IF(ISBLANK(L$12),BS_Hist_TA!L23,IF(L$12=0,0,BS_Hist_TA!L23))</f>
        <v>10.764600409836065</v>
      </c>
      <c r="M23" s="220">
        <f>IF(ISBLANK(M$12),BS_Hist_TA!M23,IF(M$12=0,0,BS_Hist_TA!M23))</f>
        <v>0</v>
      </c>
      <c r="N23" s="220">
        <f>IF(ISBLANK(N$12),BS_Hist_TA!N23,IF(N$12=0,0,BS_Hist_TA!N23))</f>
        <v>0</v>
      </c>
      <c r="O23" s="220">
        <f>IF(ISBLANK(O$12),BS_Hist_TA!O23,IF(O$12=0,0,BS_Hist_TA!O23))</f>
        <v>0</v>
      </c>
      <c r="P23" s="220">
        <f>IF(ISBLANK(P$12),BS_Hist_TA!P23,IF(P$12=0,0,BS_Hist_TA!P23))</f>
        <v>0</v>
      </c>
      <c r="Q23" s="220">
        <f>IF(ISBLANK(Q$12),BS_Hist_TA!Q23,IF(Q$12=0,0,BS_Hist_TA!Q23))</f>
        <v>0</v>
      </c>
    </row>
    <row r="24" spans="3:17" s="25" customFormat="1">
      <c r="D24" s="186" t="str">
        <f>BS_Hist_TA!D24</f>
        <v>Other Current Assets</v>
      </c>
      <c r="I24" s="145">
        <f>IF(ISBLANK(I$12),BS_Hist_TA!I24,IF(I$12=0,0,BS_Hist_TA!I24))</f>
        <v>3</v>
      </c>
      <c r="J24" s="145">
        <f>IF(ISBLANK(J$12),BS_Hist_TA!J24,IF(J$12=0,0,BS_Hist_TA!J24))</f>
        <v>3</v>
      </c>
      <c r="K24" s="145">
        <f>IF(ISBLANK(K$12),BS_Hist_TA!K24,IF(K$12=0,0,BS_Hist_TA!K24))</f>
        <v>4</v>
      </c>
      <c r="L24" s="145">
        <f>IF(ISBLANK(L$12),BS_Hist_TA!L24,IF(L$12=0,0,BS_Hist_TA!L24))</f>
        <v>5</v>
      </c>
      <c r="M24" s="145">
        <f>IF(ISBLANK(M$12),BS_Hist_TA!M24,IF(M$12=0,0,BS_Hist_TA!M24))</f>
        <v>0</v>
      </c>
      <c r="N24" s="145">
        <f>IF(ISBLANK(N$12),BS_Hist_TA!N24,IF(N$12=0,0,BS_Hist_TA!N24))</f>
        <v>0</v>
      </c>
      <c r="O24" s="145">
        <f>IF(ISBLANK(O$12),BS_Hist_TA!O24,IF(O$12=0,0,BS_Hist_TA!O24))</f>
        <v>0</v>
      </c>
      <c r="P24" s="145">
        <f>IF(ISBLANK(P$12),BS_Hist_TA!P24,IF(P$12=0,0,BS_Hist_TA!P24))</f>
        <v>0</v>
      </c>
      <c r="Q24" s="145">
        <f>IF(ISBLANK(Q$12),BS_Hist_TA!Q24,IF(Q$12=0,0,BS_Hist_TA!Q24))</f>
        <v>0</v>
      </c>
    </row>
    <row r="25" spans="3:17" s="25" customFormat="1">
      <c r="D25" s="180" t="str">
        <f>BS_Hist_TA!D25</f>
        <v>Total Current Assets</v>
      </c>
      <c r="I25" s="226">
        <f>I22+SUM(I23:I24)</f>
        <v>18.273972602739725</v>
      </c>
      <c r="J25" s="226">
        <f>J22+SUM(J23:J24)</f>
        <v>20.773972602739725</v>
      </c>
      <c r="K25" s="226">
        <f t="shared" ref="K25:Q25" si="16">K22+SUM(K23:K24)</f>
        <v>26.679158818493185</v>
      </c>
      <c r="L25" s="226">
        <f t="shared" si="16"/>
        <v>40.39990838602489</v>
      </c>
      <c r="M25" s="226">
        <f t="shared" si="16"/>
        <v>0</v>
      </c>
      <c r="N25" s="226">
        <f t="shared" si="16"/>
        <v>0</v>
      </c>
      <c r="O25" s="226">
        <f t="shared" si="16"/>
        <v>0</v>
      </c>
      <c r="P25" s="226">
        <f t="shared" si="16"/>
        <v>0</v>
      </c>
      <c r="Q25" s="226">
        <f t="shared" si="16"/>
        <v>0</v>
      </c>
    </row>
    <row r="26" spans="3:17" s="25" customFormat="1">
      <c r="I26" s="144"/>
      <c r="J26" s="144"/>
      <c r="K26" s="144"/>
      <c r="L26" s="144"/>
      <c r="M26" s="144"/>
      <c r="N26" s="144"/>
      <c r="O26" s="144"/>
      <c r="P26" s="144"/>
      <c r="Q26" s="144"/>
    </row>
    <row r="27" spans="3:17" s="25" customFormat="1" ht="11.25">
      <c r="C27" s="217"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186" t="str">
        <f>BS_Hist_TA!D29</f>
        <v>Assets</v>
      </c>
      <c r="I29" s="220">
        <f>IF(ISBLANK(I$12),BS_Hist_TA!I29,IF(I$12=0,0,BS_Hist_TA!I29))</f>
        <v>146.5</v>
      </c>
      <c r="J29" s="220">
        <f>IF(ISBLANK(J$12),BS_Hist_TA!J29,IF(J$12=0,0,BS_Hist_TA!J29))</f>
        <v>146.5</v>
      </c>
      <c r="K29" s="220">
        <f>IF(ISBLANK(K$12),BS_Hist_TA!K29,IF(K$12=0,0,BS_Hist_TA!K29))</f>
        <v>148.03749999999999</v>
      </c>
      <c r="L29" s="220">
        <f>IF(ISBLANK(L$12),BS_Hist_TA!L29,IF(L$12=0,0,BS_Hist_TA!L29))</f>
        <v>149.6134375</v>
      </c>
      <c r="M29" s="220">
        <f>IF(ISBLANK(M$12),BS_Hist_TA!M29,IF(M$12=0,0,BS_Hist_TA!M29))</f>
        <v>0</v>
      </c>
      <c r="N29" s="220">
        <f>IF(ISBLANK(N$12),BS_Hist_TA!N29,IF(N$12=0,0,BS_Hist_TA!N29))</f>
        <v>0</v>
      </c>
      <c r="O29" s="220">
        <f>IF(ISBLANK(O$12),BS_Hist_TA!O29,IF(O$12=0,0,BS_Hist_TA!O29))</f>
        <v>0</v>
      </c>
      <c r="P29" s="220">
        <f>IF(ISBLANK(P$12),BS_Hist_TA!P29,IF(P$12=0,0,BS_Hist_TA!P29))</f>
        <v>0</v>
      </c>
      <c r="Q29" s="220">
        <f>IF(ISBLANK(Q$12),BS_Hist_TA!Q29,IF(Q$12=0,0,BS_Hist_TA!Q29))</f>
        <v>0</v>
      </c>
    </row>
    <row r="30" spans="3:17" s="25" customFormat="1">
      <c r="D30" s="186" t="str">
        <f>BS_Hist_TA!D30</f>
        <v>Intangibles</v>
      </c>
      <c r="I30" s="220">
        <f>IF(ISBLANK(I$12),BS_Hist_TA!I30,IF(I$12=0,0,BS_Hist_TA!I30))</f>
        <v>13.375</v>
      </c>
      <c r="J30" s="220">
        <f>IF(ISBLANK(J$12),BS_Hist_TA!J30,IF(J$12=0,0,BS_Hist_TA!J30))</f>
        <v>13.375</v>
      </c>
      <c r="K30" s="220">
        <f>IF(ISBLANK(K$12),BS_Hist_TA!K30,IF(K$12=0,0,BS_Hist_TA!K30))</f>
        <v>15.296875</v>
      </c>
      <c r="L30" s="220">
        <f>IF(ISBLANK(L$12),BS_Hist_TA!L30,IF(L$12=0,0,BS_Hist_TA!L30))</f>
        <v>17.266796874999997</v>
      </c>
      <c r="M30" s="220">
        <f>IF(ISBLANK(M$12),BS_Hist_TA!M30,IF(M$12=0,0,BS_Hist_TA!M30))</f>
        <v>0</v>
      </c>
      <c r="N30" s="220">
        <f>IF(ISBLANK(N$12),BS_Hist_TA!N30,IF(N$12=0,0,BS_Hist_TA!N30))</f>
        <v>0</v>
      </c>
      <c r="O30" s="220">
        <f>IF(ISBLANK(O$12),BS_Hist_TA!O30,IF(O$12=0,0,BS_Hist_TA!O30))</f>
        <v>0</v>
      </c>
      <c r="P30" s="220">
        <f>IF(ISBLANK(P$12),BS_Hist_TA!P30,IF(P$12=0,0,BS_Hist_TA!P30))</f>
        <v>0</v>
      </c>
      <c r="Q30" s="220">
        <f>IF(ISBLANK(Q$12),BS_Hist_TA!Q30,IF(Q$12=0,0,BS_Hist_TA!Q30))</f>
        <v>0</v>
      </c>
    </row>
    <row r="31" spans="3:17" s="25" customFormat="1">
      <c r="D31" s="186" t="str">
        <f>BS_Hist_TA!D31</f>
        <v>Deferred Tax Assets</v>
      </c>
      <c r="I31" s="220">
        <f>IF(ISBLANK(I$12),BS_Hist_TA!I31,IF(I$12=0,0,BS_Hist_TA!I31))</f>
        <v>0</v>
      </c>
      <c r="J31" s="220">
        <f>IF(ISBLANK(J$12),BS_Hist_TA!J31,IF(J$12=0,0,BS_Hist_TA!J31))</f>
        <v>0</v>
      </c>
      <c r="K31" s="220">
        <f>IF(ISBLANK(K$12),BS_Hist_TA!K31,IF(K$12=0,0,BS_Hist_TA!K31))</f>
        <v>0</v>
      </c>
      <c r="L31" s="220">
        <f>IF(ISBLANK(L$12),BS_Hist_TA!L31,IF(L$12=0,0,BS_Hist_TA!L31))</f>
        <v>0</v>
      </c>
      <c r="M31" s="220">
        <f>IF(ISBLANK(M$12),BS_Hist_TA!M31,IF(M$12=0,0,BS_Hist_TA!M31))</f>
        <v>0</v>
      </c>
      <c r="N31" s="220">
        <f>IF(ISBLANK(N$12),BS_Hist_TA!N31,IF(N$12=0,0,BS_Hist_TA!N31))</f>
        <v>0</v>
      </c>
      <c r="O31" s="220">
        <f>IF(ISBLANK(O$12),BS_Hist_TA!O31,IF(O$12=0,0,BS_Hist_TA!O31))</f>
        <v>0</v>
      </c>
      <c r="P31" s="220">
        <f>IF(ISBLANK(P$12),BS_Hist_TA!P31,IF(P$12=0,0,BS_Hist_TA!P31))</f>
        <v>0</v>
      </c>
      <c r="Q31" s="220">
        <f>IF(ISBLANK(Q$12),BS_Hist_TA!Q31,IF(Q$12=0,0,BS_Hist_TA!Q31))</f>
        <v>0</v>
      </c>
    </row>
    <row r="32" spans="3:17" s="25" customFormat="1">
      <c r="D32" s="186" t="str">
        <f>BS_Hist_TA!D32</f>
        <v>Other Non-Current Assets</v>
      </c>
      <c r="I32" s="145">
        <f>IF(ISBLANK(I$12),BS_Hist_TA!I32,IF(I$12=0,0,BS_Hist_TA!I32))</f>
        <v>4</v>
      </c>
      <c r="J32" s="145">
        <f>IF(ISBLANK(J$12),BS_Hist_TA!J32,IF(J$12=0,0,BS_Hist_TA!J32))</f>
        <v>4</v>
      </c>
      <c r="K32" s="145">
        <f>IF(ISBLANK(K$12),BS_Hist_TA!K32,IF(K$12=0,0,BS_Hist_TA!K32))</f>
        <v>5</v>
      </c>
      <c r="L32" s="145">
        <f>IF(ISBLANK(L$12),BS_Hist_TA!L32,IF(L$12=0,0,BS_Hist_TA!L32))</f>
        <v>6</v>
      </c>
      <c r="M32" s="145">
        <f>IF(ISBLANK(M$12),BS_Hist_TA!M32,IF(M$12=0,0,BS_Hist_TA!M32))</f>
        <v>0</v>
      </c>
      <c r="N32" s="145">
        <f>IF(ISBLANK(N$12),BS_Hist_TA!N32,IF(N$12=0,0,BS_Hist_TA!N32))</f>
        <v>0</v>
      </c>
      <c r="O32" s="145">
        <f>IF(ISBLANK(O$12),BS_Hist_TA!O32,IF(O$12=0,0,BS_Hist_TA!O32))</f>
        <v>0</v>
      </c>
      <c r="P32" s="145">
        <f>IF(ISBLANK(P$12),BS_Hist_TA!P32,IF(P$12=0,0,BS_Hist_TA!P32))</f>
        <v>0</v>
      </c>
      <c r="Q32" s="145">
        <f>IF(ISBLANK(Q$12),BS_Hist_TA!Q32,IF(Q$12=0,0,BS_Hist_TA!Q32))</f>
        <v>0</v>
      </c>
    </row>
    <row r="33" spans="3:17" s="25" customFormat="1">
      <c r="D33" s="180" t="str">
        <f>BS_Hist_TA!D33</f>
        <v>Total Non-Current Assets</v>
      </c>
      <c r="I33" s="226">
        <f>SUM(I29:I32)</f>
        <v>163.875</v>
      </c>
      <c r="J33" s="226">
        <f>SUM(J29:J32)</f>
        <v>163.875</v>
      </c>
      <c r="K33" s="226">
        <f t="shared" ref="K33:Q33" si="17">SUM(K29:K32)</f>
        <v>168.33437499999999</v>
      </c>
      <c r="L33" s="226">
        <f t="shared" si="17"/>
        <v>172.88023437499999</v>
      </c>
      <c r="M33" s="226">
        <f t="shared" si="17"/>
        <v>0</v>
      </c>
      <c r="N33" s="226">
        <f t="shared" si="17"/>
        <v>0</v>
      </c>
      <c r="O33" s="226">
        <f t="shared" si="17"/>
        <v>0</v>
      </c>
      <c r="P33" s="226">
        <f t="shared" si="17"/>
        <v>0</v>
      </c>
      <c r="Q33" s="226">
        <f t="shared" si="17"/>
        <v>0</v>
      </c>
    </row>
    <row r="34" spans="3:17" s="25" customFormat="1">
      <c r="I34" s="144"/>
      <c r="J34" s="144"/>
      <c r="K34" s="144"/>
      <c r="L34" s="144"/>
      <c r="M34" s="144"/>
      <c r="N34" s="144"/>
      <c r="O34" s="144"/>
      <c r="P34" s="144"/>
      <c r="Q34" s="144"/>
    </row>
    <row r="35" spans="3:17" s="25" customFormat="1" ht="11.25">
      <c r="C35" s="217" t="str">
        <f>BS_Hist_TA!C35</f>
        <v>Total Assets</v>
      </c>
      <c r="I35" s="212">
        <f t="shared" ref="I35:Q35" si="18">I25+I33</f>
        <v>182.14897260273972</v>
      </c>
      <c r="J35" s="212">
        <f t="shared" si="18"/>
        <v>184.64897260273972</v>
      </c>
      <c r="K35" s="212">
        <f t="shared" si="18"/>
        <v>195.01353381849319</v>
      </c>
      <c r="L35" s="212">
        <f t="shared" si="18"/>
        <v>213.28014276102488</v>
      </c>
      <c r="M35" s="212">
        <f t="shared" si="18"/>
        <v>0</v>
      </c>
      <c r="N35" s="212">
        <f t="shared" si="18"/>
        <v>0</v>
      </c>
      <c r="O35" s="212">
        <f t="shared" si="18"/>
        <v>0</v>
      </c>
      <c r="P35" s="212">
        <f t="shared" si="18"/>
        <v>0</v>
      </c>
      <c r="Q35" s="212">
        <f t="shared" si="18"/>
        <v>0</v>
      </c>
    </row>
    <row r="36" spans="3:17" s="25" customFormat="1">
      <c r="I36" s="144"/>
      <c r="J36" s="144"/>
      <c r="K36" s="144"/>
      <c r="L36" s="144"/>
      <c r="M36" s="144"/>
      <c r="N36" s="144"/>
      <c r="O36" s="144"/>
      <c r="P36" s="144"/>
      <c r="Q36" s="144"/>
    </row>
    <row r="37" spans="3:17" s="25" customFormat="1" ht="11.25">
      <c r="C37" s="217"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186" t="str">
        <f>BS_Hist_TA!D39</f>
        <v>Accounts Payable</v>
      </c>
      <c r="I39" s="220">
        <f>IF(ISBLANK(I$12),BS_Hist_TA!I39,IF(I$12=0,0,BS_Hist_TA!I39))</f>
        <v>8.0136986301369859</v>
      </c>
      <c r="J39" s="220">
        <f>IF(ISBLANK(J$12),BS_Hist_TA!J39,IF(J$12=0,0,BS_Hist_TA!J39))</f>
        <v>8.0136986301369859</v>
      </c>
      <c r="K39" s="220">
        <f>IF(ISBLANK(K$12),BS_Hist_TA!K39,IF(K$12=0,0,BS_Hist_TA!K39))</f>
        <v>8.2140410958904102</v>
      </c>
      <c r="L39" s="220">
        <f>IF(ISBLANK(L$12),BS_Hist_TA!L39,IF(L$12=0,0,BS_Hist_TA!L39))</f>
        <v>8.3963883196721305</v>
      </c>
      <c r="M39" s="220">
        <f>IF(ISBLANK(M$12),BS_Hist_TA!M39,IF(M$12=0,0,BS_Hist_TA!M39))</f>
        <v>0</v>
      </c>
      <c r="N39" s="220">
        <f>IF(ISBLANK(N$12),BS_Hist_TA!N39,IF(N$12=0,0,BS_Hist_TA!N39))</f>
        <v>0</v>
      </c>
      <c r="O39" s="220">
        <f>IF(ISBLANK(O$12),BS_Hist_TA!O39,IF(O$12=0,0,BS_Hist_TA!O39))</f>
        <v>0</v>
      </c>
      <c r="P39" s="220">
        <f>IF(ISBLANK(P$12),BS_Hist_TA!P39,IF(P$12=0,0,BS_Hist_TA!P39))</f>
        <v>0</v>
      </c>
      <c r="Q39" s="220">
        <f>IF(ISBLANK(Q$12),BS_Hist_TA!Q39,IF(Q$12=0,0,BS_Hist_TA!Q39))</f>
        <v>0</v>
      </c>
    </row>
    <row r="40" spans="3:17" s="25" customFormat="1">
      <c r="D40" s="186" t="str">
        <f>BS_Hist_TA!D40</f>
        <v>Tax Payable</v>
      </c>
      <c r="I40" s="220">
        <f>IF(ISBLANK(I$12),BS_Hist_TA!I40,IF(I$12=0,0,BS_Hist_TA!I40))</f>
        <v>12.787500000000001</v>
      </c>
      <c r="J40" s="220">
        <f>IF(ISBLANK(J$12),BS_Hist_TA!J40,IF(J$12=0,0,BS_Hist_TA!J40))</f>
        <v>12.787500000000001</v>
      </c>
      <c r="K40" s="220">
        <f>IF(ISBLANK(K$12),BS_Hist_TA!K40,IF(K$12=0,0,BS_Hist_TA!K40))</f>
        <v>13.131562500000003</v>
      </c>
      <c r="L40" s="220">
        <f>IF(ISBLANK(L$12),BS_Hist_TA!L40,IF(L$12=0,0,BS_Hist_TA!L40))</f>
        <v>13.484226562500004</v>
      </c>
      <c r="M40" s="220">
        <f>IF(ISBLANK(M$12),BS_Hist_TA!M40,IF(M$12=0,0,BS_Hist_TA!M40))</f>
        <v>0</v>
      </c>
      <c r="N40" s="220">
        <f>IF(ISBLANK(N$12),BS_Hist_TA!N40,IF(N$12=0,0,BS_Hist_TA!N40))</f>
        <v>0</v>
      </c>
      <c r="O40" s="220">
        <f>IF(ISBLANK(O$12),BS_Hist_TA!O40,IF(O$12=0,0,BS_Hist_TA!O40))</f>
        <v>0</v>
      </c>
      <c r="P40" s="220">
        <f>IF(ISBLANK(P$12),BS_Hist_TA!P40,IF(P$12=0,0,BS_Hist_TA!P40))</f>
        <v>0</v>
      </c>
      <c r="Q40" s="220">
        <f>IF(ISBLANK(Q$12),BS_Hist_TA!Q40,IF(Q$12=0,0,BS_Hist_TA!Q40))</f>
        <v>0</v>
      </c>
    </row>
    <row r="41" spans="3:17" s="25" customFormat="1">
      <c r="D41" s="186" t="str">
        <f>BS_Hist_TA!D41</f>
        <v>Interest Payable</v>
      </c>
      <c r="I41" s="220">
        <f>IF(ISBLANK(I$12),BS_Hist_TA!I41,IF(I$12=0,0,BS_Hist_TA!I41))</f>
        <v>0</v>
      </c>
      <c r="J41" s="220">
        <f>IF(ISBLANK(J$12),BS_Hist_TA!J41,IF(J$12=0,0,BS_Hist_TA!J41))</f>
        <v>0</v>
      </c>
      <c r="K41" s="220">
        <f>IF(ISBLANK(K$12),BS_Hist_TA!K41,IF(K$12=0,0,BS_Hist_TA!K41))</f>
        <v>0</v>
      </c>
      <c r="L41" s="220">
        <f>IF(ISBLANK(L$12),BS_Hist_TA!L41,IF(L$12=0,0,BS_Hist_TA!L41))</f>
        <v>0</v>
      </c>
      <c r="M41" s="220">
        <f>IF(ISBLANK(M$12),BS_Hist_TA!M41,IF(M$12=0,0,BS_Hist_TA!M41))</f>
        <v>0</v>
      </c>
      <c r="N41" s="220">
        <f>IF(ISBLANK(N$12),BS_Hist_TA!N41,IF(N$12=0,0,BS_Hist_TA!N41))</f>
        <v>0</v>
      </c>
      <c r="O41" s="220">
        <f>IF(ISBLANK(O$12),BS_Hist_TA!O41,IF(O$12=0,0,BS_Hist_TA!O41))</f>
        <v>0</v>
      </c>
      <c r="P41" s="220">
        <f>IF(ISBLANK(P$12),BS_Hist_TA!P41,IF(P$12=0,0,BS_Hist_TA!P41))</f>
        <v>0</v>
      </c>
      <c r="Q41" s="220">
        <f>IF(ISBLANK(Q$12),BS_Hist_TA!Q41,IF(Q$12=0,0,BS_Hist_TA!Q41))</f>
        <v>0</v>
      </c>
    </row>
    <row r="42" spans="3:17" s="25" customFormat="1">
      <c r="D42" s="186" t="str">
        <f>BS_Hist_TA!D42</f>
        <v>Ordinary Equity Dividends Payable</v>
      </c>
      <c r="I42" s="220">
        <f>IF(ISBLANK(I$12),BS_Hist_TA!I42,IF(I$12=0,0,BS_Hist_TA!I42))</f>
        <v>0</v>
      </c>
      <c r="J42" s="220">
        <f>IF(ISBLANK(J$12),BS_Hist_TA!J42,IF(J$12=0,0,BS_Hist_TA!J42))</f>
        <v>0</v>
      </c>
      <c r="K42" s="220">
        <f>IF(ISBLANK(K$12),BS_Hist_TA!K42,IF(K$12=0,0,BS_Hist_TA!K42))</f>
        <v>0</v>
      </c>
      <c r="L42" s="220">
        <f>IF(ISBLANK(L$12),BS_Hist_TA!L42,IF(L$12=0,0,BS_Hist_TA!L42))</f>
        <v>0</v>
      </c>
      <c r="M42" s="220">
        <f>IF(ISBLANK(M$12),BS_Hist_TA!M42,IF(M$12=0,0,BS_Hist_TA!M42))</f>
        <v>0</v>
      </c>
      <c r="N42" s="220">
        <f>IF(ISBLANK(N$12),BS_Hist_TA!N42,IF(N$12=0,0,BS_Hist_TA!N42))</f>
        <v>0</v>
      </c>
      <c r="O42" s="220">
        <f>IF(ISBLANK(O$12),BS_Hist_TA!O42,IF(O$12=0,0,BS_Hist_TA!O42))</f>
        <v>0</v>
      </c>
      <c r="P42" s="220">
        <f>IF(ISBLANK(P$12),BS_Hist_TA!P42,IF(P$12=0,0,BS_Hist_TA!P42))</f>
        <v>0</v>
      </c>
      <c r="Q42" s="220">
        <f>IF(ISBLANK(Q$12),BS_Hist_TA!Q42,IF(Q$12=0,0,BS_Hist_TA!Q42))</f>
        <v>0</v>
      </c>
    </row>
    <row r="43" spans="3:17" s="25" customFormat="1">
      <c r="D43" s="186" t="str">
        <f>BS_Hist_TA!D43</f>
        <v>Other Current Liabilities</v>
      </c>
      <c r="I43" s="145">
        <f>IF(ISBLANK(I$12),BS_Hist_TA!I43,IF(I$12=0,0,BS_Hist_TA!I43))</f>
        <v>5</v>
      </c>
      <c r="J43" s="145">
        <f>IF(ISBLANK(J$12),BS_Hist_TA!J43,IF(J$12=0,0,BS_Hist_TA!J43))</f>
        <v>5</v>
      </c>
      <c r="K43" s="145">
        <f>IF(ISBLANK(K$12),BS_Hist_TA!K43,IF(K$12=0,0,BS_Hist_TA!K43))</f>
        <v>6</v>
      </c>
      <c r="L43" s="145">
        <f>IF(ISBLANK(L$12),BS_Hist_TA!L43,IF(L$12=0,0,BS_Hist_TA!L43))</f>
        <v>7</v>
      </c>
      <c r="M43" s="145">
        <f>IF(ISBLANK(M$12),BS_Hist_TA!M43,IF(M$12=0,0,BS_Hist_TA!M43))</f>
        <v>0</v>
      </c>
      <c r="N43" s="145">
        <f>IF(ISBLANK(N$12),BS_Hist_TA!N43,IF(N$12=0,0,BS_Hist_TA!N43))</f>
        <v>0</v>
      </c>
      <c r="O43" s="145">
        <f>IF(ISBLANK(O$12),BS_Hist_TA!O43,IF(O$12=0,0,BS_Hist_TA!O43))</f>
        <v>0</v>
      </c>
      <c r="P43" s="145">
        <f>IF(ISBLANK(P$12),BS_Hist_TA!P43,IF(P$12=0,0,BS_Hist_TA!P43))</f>
        <v>0</v>
      </c>
      <c r="Q43" s="145">
        <f>IF(ISBLANK(Q$12),BS_Hist_TA!Q43,IF(Q$12=0,0,BS_Hist_TA!Q43))</f>
        <v>0</v>
      </c>
    </row>
    <row r="44" spans="3:17" s="25" customFormat="1">
      <c r="D44" s="180" t="str">
        <f>BS_Hist_TA!D44</f>
        <v>Total Current Liabilities</v>
      </c>
      <c r="I44" s="226">
        <f>SUM(I39:I43)</f>
        <v>25.801198630136987</v>
      </c>
      <c r="J44" s="226">
        <f>SUM(J39:J43)</f>
        <v>25.801198630136987</v>
      </c>
      <c r="K44" s="226">
        <f t="shared" ref="K44:Q44" si="19">SUM(K39:K43)</f>
        <v>27.345603595890413</v>
      </c>
      <c r="L44" s="226">
        <f t="shared" si="19"/>
        <v>28.880614882172132</v>
      </c>
      <c r="M44" s="226">
        <f t="shared" si="19"/>
        <v>0</v>
      </c>
      <c r="N44" s="226">
        <f t="shared" si="19"/>
        <v>0</v>
      </c>
      <c r="O44" s="226">
        <f t="shared" si="19"/>
        <v>0</v>
      </c>
      <c r="P44" s="226">
        <f t="shared" si="19"/>
        <v>0</v>
      </c>
      <c r="Q44" s="226">
        <f t="shared" si="19"/>
        <v>0</v>
      </c>
    </row>
    <row r="45" spans="3:17" s="25" customFormat="1">
      <c r="I45" s="144"/>
      <c r="J45" s="144"/>
      <c r="K45" s="144"/>
      <c r="L45" s="144"/>
      <c r="M45" s="144"/>
      <c r="N45" s="144"/>
      <c r="O45" s="144"/>
      <c r="P45" s="144"/>
      <c r="Q45" s="144"/>
    </row>
    <row r="46" spans="3:17" s="25" customFormat="1" ht="11.25">
      <c r="C46" s="217"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186" t="str">
        <f>BS_Hist_TA!D48</f>
        <v>Debt</v>
      </c>
      <c r="I48" s="220">
        <f>IF(ISBLANK(I$12),BS_Hist_TA!I48,IF(I$12=0,0,BS_Hist_TA!I48))</f>
        <v>50</v>
      </c>
      <c r="J48" s="220">
        <f>IF(ISBLANK(J$12),BS_Hist_TA!J48,IF(J$12=0,0,BS_Hist_TA!J48))</f>
        <v>50</v>
      </c>
      <c r="K48" s="220">
        <f>IF(ISBLANK(K$12),BS_Hist_TA!K48,IF(K$12=0,0,BS_Hist_TA!K48))</f>
        <v>50</v>
      </c>
      <c r="L48" s="220">
        <f>IF(ISBLANK(L$12),BS_Hist_TA!L48,IF(L$12=0,0,BS_Hist_TA!L48))</f>
        <v>50</v>
      </c>
      <c r="M48" s="220">
        <f>IF(ISBLANK(M$12),BS_Hist_TA!M48,IF(M$12=0,0,BS_Hist_TA!M48))</f>
        <v>0</v>
      </c>
      <c r="N48" s="220">
        <f>IF(ISBLANK(N$12),BS_Hist_TA!N48,IF(N$12=0,0,BS_Hist_TA!N48))</f>
        <v>0</v>
      </c>
      <c r="O48" s="220">
        <f>IF(ISBLANK(O$12),BS_Hist_TA!O48,IF(O$12=0,0,BS_Hist_TA!O48))</f>
        <v>0</v>
      </c>
      <c r="P48" s="220">
        <f>IF(ISBLANK(P$12),BS_Hist_TA!P48,IF(P$12=0,0,BS_Hist_TA!P48))</f>
        <v>0</v>
      </c>
      <c r="Q48" s="220">
        <f>IF(ISBLANK(Q$12),BS_Hist_TA!Q48,IF(Q$12=0,0,BS_Hist_TA!Q48))</f>
        <v>0</v>
      </c>
    </row>
    <row r="49" spans="3:17" s="25" customFormat="1">
      <c r="D49" s="186" t="str">
        <f>BS_Hist_TA!D49</f>
        <v>Deferred Tax Liabilities</v>
      </c>
      <c r="I49" s="220">
        <f>IF(ISBLANK(I$12),BS_Hist_TA!I49,IF(I$12=0,0,BS_Hist_TA!I49))</f>
        <v>0</v>
      </c>
      <c r="J49" s="220">
        <f>IF(ISBLANK(J$12),BS_Hist_TA!J49,IF(J$12=0,0,BS_Hist_TA!J49))</f>
        <v>0</v>
      </c>
      <c r="K49" s="220">
        <f>IF(ISBLANK(K$12),BS_Hist_TA!K49,IF(K$12=0,0,BS_Hist_TA!K49))</f>
        <v>0</v>
      </c>
      <c r="L49" s="220">
        <f>IF(ISBLANK(L$12),BS_Hist_TA!L49,IF(L$12=0,0,BS_Hist_TA!L49))</f>
        <v>0</v>
      </c>
      <c r="M49" s="220">
        <f>IF(ISBLANK(M$12),BS_Hist_TA!M49,IF(M$12=0,0,BS_Hist_TA!M49))</f>
        <v>0</v>
      </c>
      <c r="N49" s="220">
        <f>IF(ISBLANK(N$12),BS_Hist_TA!N49,IF(N$12=0,0,BS_Hist_TA!N49))</f>
        <v>0</v>
      </c>
      <c r="O49" s="220">
        <f>IF(ISBLANK(O$12),BS_Hist_TA!O49,IF(O$12=0,0,BS_Hist_TA!O49))</f>
        <v>0</v>
      </c>
      <c r="P49" s="220">
        <f>IF(ISBLANK(P$12),BS_Hist_TA!P49,IF(P$12=0,0,BS_Hist_TA!P49))</f>
        <v>0</v>
      </c>
      <c r="Q49" s="220">
        <f>IF(ISBLANK(Q$12),BS_Hist_TA!Q49,IF(Q$12=0,0,BS_Hist_TA!Q49))</f>
        <v>0</v>
      </c>
    </row>
    <row r="50" spans="3:17" s="25" customFormat="1">
      <c r="D50" s="186" t="str">
        <f>BS_Hist_TA!D50</f>
        <v>Other Non-Current Liabilities</v>
      </c>
      <c r="I50" s="145">
        <f>IF(ISBLANK(I$12),BS_Hist_TA!I50,IF(I$12=0,0,BS_Hist_TA!I50))</f>
        <v>6</v>
      </c>
      <c r="J50" s="145">
        <f>IF(ISBLANK(J$12),BS_Hist_TA!J50,IF(J$12=0,0,BS_Hist_TA!J50))</f>
        <v>6</v>
      </c>
      <c r="K50" s="145">
        <f>IF(ISBLANK(K$12),BS_Hist_TA!K50,IF(K$12=0,0,BS_Hist_TA!K50))</f>
        <v>7</v>
      </c>
      <c r="L50" s="145">
        <f>IF(ISBLANK(L$12),BS_Hist_TA!L50,IF(L$12=0,0,BS_Hist_TA!L50))</f>
        <v>8</v>
      </c>
      <c r="M50" s="145">
        <f>IF(ISBLANK(M$12),BS_Hist_TA!M50,IF(M$12=0,0,BS_Hist_TA!M50))</f>
        <v>0</v>
      </c>
      <c r="N50" s="145">
        <f>IF(ISBLANK(N$12),BS_Hist_TA!N50,IF(N$12=0,0,BS_Hist_TA!N50))</f>
        <v>0</v>
      </c>
      <c r="O50" s="145">
        <f>IF(ISBLANK(O$12),BS_Hist_TA!O50,IF(O$12=0,0,BS_Hist_TA!O50))</f>
        <v>0</v>
      </c>
      <c r="P50" s="145">
        <f>IF(ISBLANK(P$12),BS_Hist_TA!P50,IF(P$12=0,0,BS_Hist_TA!P50))</f>
        <v>0</v>
      </c>
      <c r="Q50" s="145">
        <f>IF(ISBLANK(Q$12),BS_Hist_TA!Q50,IF(Q$12=0,0,BS_Hist_TA!Q50))</f>
        <v>0</v>
      </c>
    </row>
    <row r="51" spans="3:17" s="25" customFormat="1">
      <c r="D51" s="180" t="str">
        <f>BS_Hist_TA!D51</f>
        <v>Total Non-Current Liabilities</v>
      </c>
      <c r="I51" s="226">
        <f>SUM(I48:I50)</f>
        <v>56</v>
      </c>
      <c r="J51" s="226">
        <f>SUM(J48:J50)</f>
        <v>56</v>
      </c>
      <c r="K51" s="226">
        <f t="shared" ref="K51:Q51" si="20">SUM(K48:K50)</f>
        <v>57</v>
      </c>
      <c r="L51" s="226">
        <f t="shared" si="20"/>
        <v>58</v>
      </c>
      <c r="M51" s="226">
        <f t="shared" si="20"/>
        <v>0</v>
      </c>
      <c r="N51" s="226">
        <f t="shared" si="20"/>
        <v>0</v>
      </c>
      <c r="O51" s="226">
        <f t="shared" si="20"/>
        <v>0</v>
      </c>
      <c r="P51" s="226">
        <f t="shared" si="20"/>
        <v>0</v>
      </c>
      <c r="Q51" s="226">
        <f t="shared" si="20"/>
        <v>0</v>
      </c>
    </row>
    <row r="52" spans="3:17" s="25" customFormat="1">
      <c r="I52" s="144"/>
      <c r="J52" s="144"/>
      <c r="K52" s="144"/>
      <c r="L52" s="144"/>
      <c r="M52" s="144"/>
      <c r="N52" s="144"/>
      <c r="O52" s="144"/>
      <c r="P52" s="144"/>
      <c r="Q52" s="144"/>
    </row>
    <row r="53" spans="3:17" s="25" customFormat="1" ht="11.25">
      <c r="C53" s="217" t="str">
        <f>BS_Hist_TA!C53</f>
        <v>Total Liabilities</v>
      </c>
      <c r="I53" s="212">
        <f t="shared" ref="I53:Q53" si="21">I44+I51</f>
        <v>81.80119863013698</v>
      </c>
      <c r="J53" s="212">
        <f t="shared" si="21"/>
        <v>81.80119863013698</v>
      </c>
      <c r="K53" s="212">
        <f t="shared" si="21"/>
        <v>84.34560359589041</v>
      </c>
      <c r="L53" s="212">
        <f t="shared" si="21"/>
        <v>86.880614882172125</v>
      </c>
      <c r="M53" s="212">
        <f t="shared" si="21"/>
        <v>0</v>
      </c>
      <c r="N53" s="212">
        <f t="shared" si="21"/>
        <v>0</v>
      </c>
      <c r="O53" s="212">
        <f t="shared" si="21"/>
        <v>0</v>
      </c>
      <c r="P53" s="212">
        <f t="shared" si="21"/>
        <v>0</v>
      </c>
      <c r="Q53" s="212">
        <f t="shared" si="21"/>
        <v>0</v>
      </c>
    </row>
    <row r="54" spans="3:17" s="25" customFormat="1">
      <c r="I54" s="144"/>
      <c r="J54" s="144"/>
      <c r="K54" s="144"/>
      <c r="L54" s="144"/>
      <c r="M54" s="144"/>
      <c r="N54" s="144"/>
      <c r="O54" s="144"/>
      <c r="P54" s="144"/>
      <c r="Q54" s="144"/>
    </row>
    <row r="55" spans="3:17" s="25" customFormat="1" ht="12" thickBot="1">
      <c r="C55" s="217" t="str">
        <f>BS_Hist_TA!C55</f>
        <v>Net Assets</v>
      </c>
      <c r="I55" s="214">
        <f t="shared" ref="I55:Q55" si="22">I35-I53</f>
        <v>100.34777397260274</v>
      </c>
      <c r="J55" s="214">
        <f t="shared" si="22"/>
        <v>102.84777397260274</v>
      </c>
      <c r="K55" s="214">
        <f t="shared" si="22"/>
        <v>110.66793022260278</v>
      </c>
      <c r="L55" s="214">
        <f t="shared" si="22"/>
        <v>126.39952787885275</v>
      </c>
      <c r="M55" s="214">
        <f t="shared" si="22"/>
        <v>0</v>
      </c>
      <c r="N55" s="214">
        <f t="shared" si="22"/>
        <v>0</v>
      </c>
      <c r="O55" s="214">
        <f t="shared" si="22"/>
        <v>0</v>
      </c>
      <c r="P55" s="214">
        <f t="shared" si="22"/>
        <v>0</v>
      </c>
      <c r="Q55" s="214">
        <f t="shared" si="22"/>
        <v>0</v>
      </c>
    </row>
    <row r="56" spans="3:17" s="25" customFormat="1" ht="11.25" thickTop="1">
      <c r="I56" s="144"/>
      <c r="J56" s="144"/>
      <c r="K56" s="144"/>
      <c r="L56" s="144"/>
      <c r="M56" s="144"/>
      <c r="N56" s="144"/>
      <c r="O56" s="144"/>
      <c r="P56" s="144"/>
      <c r="Q56" s="144"/>
    </row>
    <row r="57" spans="3:17" s="25" customFormat="1" ht="11.25">
      <c r="C57" s="217"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186" t="str">
        <f>BS_Hist_TA!D59</f>
        <v>Ordinary Equity</v>
      </c>
      <c r="I59" s="220">
        <f>IF(ISBLANK(I$12),BS_Hist_TA!I59,IF(I$12=0,0,BS_Hist_TA!I59))</f>
        <v>75</v>
      </c>
      <c r="J59" s="220">
        <f>IF(ISBLANK(J$12),BS_Hist_TA!J59,IF(J$12=0,0,BS_Hist_TA!J59))</f>
        <v>75</v>
      </c>
      <c r="K59" s="220">
        <f>IF(ISBLANK(K$12),BS_Hist_TA!K59,IF(K$12=0,0,BS_Hist_TA!K59))</f>
        <v>75</v>
      </c>
      <c r="L59" s="220">
        <f>IF(ISBLANK(L$12),BS_Hist_TA!L59,IF(L$12=0,0,BS_Hist_TA!L59))</f>
        <v>75</v>
      </c>
      <c r="M59" s="220">
        <f>IF(ISBLANK(M$12),BS_Hist_TA!M59,IF(M$12=0,0,BS_Hist_TA!M59))</f>
        <v>0</v>
      </c>
      <c r="N59" s="220">
        <f>IF(ISBLANK(N$12),BS_Hist_TA!N59,IF(N$12=0,0,BS_Hist_TA!N59))</f>
        <v>0</v>
      </c>
      <c r="O59" s="220">
        <f>IF(ISBLANK(O$12),BS_Hist_TA!O59,IF(O$12=0,0,BS_Hist_TA!O59))</f>
        <v>0</v>
      </c>
      <c r="P59" s="220">
        <f>IF(ISBLANK(P$12),BS_Hist_TA!P59,IF(P$12=0,0,BS_Hist_TA!P59))</f>
        <v>0</v>
      </c>
      <c r="Q59" s="220">
        <f>IF(ISBLANK(Q$12),BS_Hist_TA!Q59,IF(Q$12=0,0,BS_Hist_TA!Q59))</f>
        <v>0</v>
      </c>
    </row>
    <row r="60" spans="3:17" s="25" customFormat="1">
      <c r="D60" s="204" t="str">
        <f>BS_Hist_TA!D60</f>
        <v>Other Equity</v>
      </c>
      <c r="I60" s="220">
        <f>IF(ISBLANK(I$12),BS_Hist_TA!I60,IF(I$12=0,0,BS_Hist_TA!I60))</f>
        <v>5</v>
      </c>
      <c r="J60" s="220">
        <f>IF(ISBLANK(J$12),BS_Hist_TA!J60,IF(J$12=0,0,BS_Hist_TA!J60))</f>
        <v>5</v>
      </c>
      <c r="K60" s="220">
        <f>IF(ISBLANK(K$12),BS_Hist_TA!K60,IF(K$12=0,0,BS_Hist_TA!K60))</f>
        <v>5</v>
      </c>
      <c r="L60" s="220">
        <f>IF(ISBLANK(L$12),BS_Hist_TA!L60,IF(L$12=0,0,BS_Hist_TA!L60))</f>
        <v>5</v>
      </c>
      <c r="M60" s="220">
        <f>IF(ISBLANK(M$12),BS_Hist_TA!M60,IF(M$12=0,0,BS_Hist_TA!M60))</f>
        <v>0</v>
      </c>
      <c r="N60" s="220">
        <f>IF(ISBLANK(N$12),BS_Hist_TA!N60,IF(N$12=0,0,BS_Hist_TA!N60))</f>
        <v>0</v>
      </c>
      <c r="O60" s="220">
        <f>IF(ISBLANK(O$12),BS_Hist_TA!O60,IF(O$12=0,0,BS_Hist_TA!O60))</f>
        <v>0</v>
      </c>
      <c r="P60" s="220">
        <f>IF(ISBLANK(P$12),BS_Hist_TA!P60,IF(P$12=0,0,BS_Hist_TA!P60))</f>
        <v>0</v>
      </c>
      <c r="Q60" s="220">
        <f>IF(ISBLANK(Q$12),BS_Hist_TA!Q60,IF(Q$12=0,0,BS_Hist_TA!Q60))</f>
        <v>0</v>
      </c>
    </row>
    <row r="61" spans="3:17" s="25" customFormat="1" hidden="1" outlineLevel="2">
      <c r="D61" s="204"/>
      <c r="E61" s="203" t="s">
        <v>277</v>
      </c>
      <c r="I61" s="220"/>
      <c r="J61" s="220">
        <f>IF(J$12=0,0,I64)</f>
        <v>20.347773972602738</v>
      </c>
      <c r="K61" s="220">
        <f t="shared" ref="K61" si="23">IF(K$12=0,0,J64)</f>
        <v>22.847773972602738</v>
      </c>
      <c r="L61" s="220">
        <f t="shared" ref="L61" si="24">IF(L$12=0,0,K64)</f>
        <v>30.667930222602777</v>
      </c>
      <c r="M61" s="220">
        <f t="shared" ref="M61" si="25">IF(M$12=0,0,L64)</f>
        <v>0</v>
      </c>
      <c r="N61" s="220">
        <f t="shared" ref="N61" si="26">IF(N$12=0,0,M64)</f>
        <v>0</v>
      </c>
      <c r="O61" s="220">
        <f t="shared" ref="O61" si="27">IF(O$12=0,0,N64)</f>
        <v>0</v>
      </c>
      <c r="P61" s="220">
        <f t="shared" ref="P61" si="28">IF(P$12=0,0,O64)</f>
        <v>0</v>
      </c>
      <c r="Q61" s="220">
        <f t="shared" ref="Q61" si="29">IF(Q$12=0,0,P64)</f>
        <v>0</v>
      </c>
    </row>
    <row r="62" spans="3:17" s="25" customFormat="1" hidden="1" outlineLevel="2">
      <c r="D62" s="204"/>
      <c r="E62" s="203" t="s">
        <v>560</v>
      </c>
      <c r="I62" s="220"/>
      <c r="J62" s="220">
        <f>IF(ISBLANK(J$12),BS_Hist_TA!J61,IF(J$12=0,0,BS_Hist_TA!J61))-J61</f>
        <v>2.5</v>
      </c>
      <c r="K62" s="220">
        <f>IF(ISBLANK(K$12),BS_Hist_TA!K61,IF(K$12=0,0,BS_Hist_TA!K61))-K61</f>
        <v>7.8201562500000392</v>
      </c>
      <c r="L62" s="220">
        <f>IF(ISBLANK(L$12),BS_Hist_TA!L61,IF(L$12=0,0,BS_Hist_TA!L61))-L61</f>
        <v>15.731597656249974</v>
      </c>
      <c r="M62" s="220">
        <f>IF(ISBLANK(M$12),BS_Hist_TA!M61,IF(M$12=0,0,BS_Hist_TA!M61))-M61</f>
        <v>0</v>
      </c>
      <c r="N62" s="220">
        <f>IF(ISBLANK(N$12),BS_Hist_TA!N61,IF(N$12=0,0,BS_Hist_TA!N61))-N61</f>
        <v>0</v>
      </c>
      <c r="O62" s="220">
        <f>IF(ISBLANK(O$12),BS_Hist_TA!O61,IF(O$12=0,0,BS_Hist_TA!O61))-O61</f>
        <v>0</v>
      </c>
      <c r="P62" s="220">
        <f>IF(ISBLANK(P$12),BS_Hist_TA!P61,IF(P$12=0,0,BS_Hist_TA!P61))-P61</f>
        <v>0</v>
      </c>
      <c r="Q62" s="220">
        <f>IF(ISBLANK(Q$12),BS_Hist_TA!Q61,IF(Q$12=0,0,BS_Hist_TA!Q61))-Q61</f>
        <v>0</v>
      </c>
    </row>
    <row r="63" spans="3:17" s="25" customFormat="1" hidden="1" outlineLevel="2">
      <c r="E63" s="204" t="str">
        <f>BS_Hist_TA!E62</f>
        <v>Retained Profits - Balancing Item</v>
      </c>
      <c r="I63" s="220"/>
      <c r="J63" s="220">
        <f>IF(ISBLANK(J$12),BS_Hist_TA!J62,IF(J$12=0,0,BS_Hist_TA!J62))</f>
        <v>0</v>
      </c>
      <c r="K63" s="220">
        <f>IF(ISBLANK(K$12),BS_Hist_TA!K62,IF(K$12=0,0,BS_Hist_TA!K62))</f>
        <v>0</v>
      </c>
      <c r="L63" s="220">
        <f>IF(ISBLANK(L$12),BS_Hist_TA!L62,IF(L$12=0,0,BS_Hist_TA!L62))</f>
        <v>0</v>
      </c>
      <c r="M63" s="220">
        <f>IF(ISBLANK(M$12),BS_Hist_TA!M62,IF(M$12=0,0,BS_Hist_TA!M62))</f>
        <v>0</v>
      </c>
      <c r="N63" s="220">
        <f>IF(ISBLANK(N$12),BS_Hist_TA!N62,IF(N$12=0,0,BS_Hist_TA!N62))</f>
        <v>0</v>
      </c>
      <c r="O63" s="220">
        <f>IF(ISBLANK(O$12),BS_Hist_TA!O62,IF(O$12=0,0,BS_Hist_TA!O62))</f>
        <v>0</v>
      </c>
      <c r="P63" s="220">
        <f>IF(ISBLANK(P$12),BS_Hist_TA!P62,IF(P$12=0,0,BS_Hist_TA!P62))</f>
        <v>0</v>
      </c>
      <c r="Q63" s="220">
        <f>IF(ISBLANK(Q$12),BS_Hist_TA!Q62,IF(Q$12=0,0,BS_Hist_TA!Q62))</f>
        <v>0</v>
      </c>
    </row>
    <row r="64" spans="3:17" s="25" customFormat="1" collapsed="1">
      <c r="D64" s="186" t="str">
        <f>BS_Hist_TA!D63</f>
        <v>Retained Profits</v>
      </c>
      <c r="I64" s="213">
        <f>IF(ISBLANK(I$12),BS_Hist_TA!$I$63,SUM(I61:I63))</f>
        <v>20.347773972602738</v>
      </c>
      <c r="J64" s="213">
        <f>IF(ISBLANK(J$12),BS_Hist_TA!$I$63,SUM(J61:J63))</f>
        <v>22.847773972602738</v>
      </c>
      <c r="K64" s="213">
        <f>IF(ISBLANK(K$12),BS_Hist_TA!$I$63,SUM(K61:K63))</f>
        <v>30.667930222602777</v>
      </c>
      <c r="L64" s="213">
        <f>IF(ISBLANK(L$12),BS_Hist_TA!$I$63,SUM(L61:L63))</f>
        <v>46.399527878852751</v>
      </c>
      <c r="M64" s="213">
        <f>IF(ISBLANK(M$12),BS_Hist_TA!$I$63,SUM(M61:M63))</f>
        <v>0</v>
      </c>
      <c r="N64" s="213">
        <f>IF(ISBLANK(N$12),BS_Hist_TA!$I$63,SUM(N61:N63))</f>
        <v>0</v>
      </c>
      <c r="O64" s="213">
        <f>IF(ISBLANK(O$12),BS_Hist_TA!$I$63,SUM(O61:O63))</f>
        <v>0</v>
      </c>
      <c r="P64" s="213">
        <f>IF(ISBLANK(P$12),BS_Hist_TA!$I$63,SUM(P61:P63))</f>
        <v>0</v>
      </c>
      <c r="Q64" s="213">
        <f>IF(ISBLANK(Q$12),BS_Hist_TA!$I$63,SUM(Q61:Q63))</f>
        <v>0</v>
      </c>
    </row>
    <row r="65" spans="3:17" s="25" customFormat="1">
      <c r="I65" s="144"/>
      <c r="J65" s="144"/>
      <c r="K65" s="144"/>
      <c r="L65" s="144"/>
      <c r="M65" s="144"/>
      <c r="N65" s="144"/>
      <c r="O65" s="144"/>
      <c r="P65" s="144"/>
      <c r="Q65" s="144"/>
    </row>
    <row r="66" spans="3:17" s="25" customFormat="1" ht="12" thickBot="1">
      <c r="C66" s="217" t="str">
        <f>BS_Hist_TA!C65</f>
        <v>Total Equity</v>
      </c>
      <c r="I66" s="214">
        <f t="shared" ref="I66:Q66" si="30">I59+I60+I64</f>
        <v>100.34777397260274</v>
      </c>
      <c r="J66" s="214">
        <f t="shared" si="30"/>
        <v>102.84777397260274</v>
      </c>
      <c r="K66" s="214">
        <f t="shared" si="30"/>
        <v>110.66793022260278</v>
      </c>
      <c r="L66" s="214">
        <f t="shared" si="30"/>
        <v>126.39952787885275</v>
      </c>
      <c r="M66" s="214">
        <f t="shared" si="30"/>
        <v>0</v>
      </c>
      <c r="N66" s="214">
        <f t="shared" si="30"/>
        <v>0</v>
      </c>
      <c r="O66" s="214">
        <f t="shared" si="30"/>
        <v>0</v>
      </c>
      <c r="P66" s="214">
        <f t="shared" si="30"/>
        <v>0</v>
      </c>
      <c r="Q66" s="214">
        <f t="shared" si="30"/>
        <v>0</v>
      </c>
    </row>
    <row r="67" spans="3:17" s="25" customFormat="1" ht="12" thickTop="1">
      <c r="C67" s="245"/>
      <c r="I67" s="226"/>
      <c r="J67" s="226"/>
      <c r="K67" s="226"/>
      <c r="L67" s="226"/>
      <c r="M67" s="226"/>
      <c r="N67" s="226"/>
      <c r="O67" s="226"/>
      <c r="P67" s="226"/>
      <c r="Q67" s="226"/>
    </row>
    <row r="68" spans="3:17" s="25" customFormat="1" hidden="1" outlineLevel="2">
      <c r="D68" s="229" t="str">
        <f>BS_Hist_TA!D67</f>
        <v>Error Values</v>
      </c>
      <c r="I68" s="222">
        <f>IF(ISERROR(I55-I66),1,0)</f>
        <v>0</v>
      </c>
      <c r="J68" s="222">
        <f t="shared" ref="J68:Q68" si="31">IF(ISERROR(J55-J66),1,0)</f>
        <v>0</v>
      </c>
      <c r="K68" s="222">
        <f t="shared" si="31"/>
        <v>0</v>
      </c>
      <c r="L68" s="222">
        <f t="shared" si="31"/>
        <v>0</v>
      </c>
      <c r="M68" s="222">
        <f t="shared" si="31"/>
        <v>0</v>
      </c>
      <c r="N68" s="222">
        <f t="shared" si="31"/>
        <v>0</v>
      </c>
      <c r="O68" s="222">
        <f t="shared" si="31"/>
        <v>0</v>
      </c>
      <c r="P68" s="222">
        <f t="shared" si="31"/>
        <v>0</v>
      </c>
      <c r="Q68" s="222">
        <f t="shared" si="31"/>
        <v>0</v>
      </c>
    </row>
    <row r="69" spans="3:17" s="25" customFormat="1" hidden="1" outlineLevel="2">
      <c r="D69" s="229" t="str">
        <f>BS_Hist_TA!D68</f>
        <v>Balancing Item Used</v>
      </c>
      <c r="I69" s="223">
        <f>IF(I68&lt;&gt;0,0,(ROUND(I55-I66,5)&lt;&gt;0)*1)</f>
        <v>0</v>
      </c>
      <c r="J69" s="223">
        <f t="shared" ref="J69:Q69" si="32">IF(J68&lt;&gt;0,0,(ROUND(J55-J66,5)&lt;&gt;0)*1)</f>
        <v>0</v>
      </c>
      <c r="K69" s="223">
        <f t="shared" si="32"/>
        <v>0</v>
      </c>
      <c r="L69" s="223">
        <f t="shared" si="32"/>
        <v>0</v>
      </c>
      <c r="M69" s="223">
        <f t="shared" si="32"/>
        <v>0</v>
      </c>
      <c r="N69" s="223">
        <f t="shared" si="32"/>
        <v>0</v>
      </c>
      <c r="O69" s="223">
        <f t="shared" si="32"/>
        <v>0</v>
      </c>
      <c r="P69" s="223">
        <f t="shared" si="32"/>
        <v>0</v>
      </c>
      <c r="Q69" s="223">
        <f t="shared" si="32"/>
        <v>0</v>
      </c>
    </row>
    <row r="70" spans="3:17" s="25" customFormat="1" collapsed="1">
      <c r="C70" s="229" t="str">
        <f>BS_Hist_TA!C69</f>
        <v>Total Error Check Result</v>
      </c>
      <c r="H70" s="224">
        <f>IF(ISERROR(SUM(I70:Q70)),0,MIN(SUM(I70:Q70),1))</f>
        <v>0</v>
      </c>
      <c r="I70" s="225">
        <f t="shared" ref="I70:Q70" si="33">MIN(SUM(I68:I69),1)</f>
        <v>0</v>
      </c>
      <c r="J70" s="225">
        <f t="shared" si="33"/>
        <v>0</v>
      </c>
      <c r="K70" s="225">
        <f t="shared" si="33"/>
        <v>0</v>
      </c>
      <c r="L70" s="225">
        <f t="shared" si="33"/>
        <v>0</v>
      </c>
      <c r="M70" s="225">
        <f t="shared" si="33"/>
        <v>0</v>
      </c>
      <c r="N70" s="225">
        <f t="shared" si="33"/>
        <v>0</v>
      </c>
      <c r="O70" s="225">
        <f t="shared" si="33"/>
        <v>0</v>
      </c>
      <c r="P70" s="225">
        <f t="shared" si="33"/>
        <v>0</v>
      </c>
      <c r="Q70" s="225">
        <f t="shared" si="33"/>
        <v>0</v>
      </c>
    </row>
    <row r="71" spans="3:17" s="25" customFormat="1" hidden="1" outlineLevel="2">
      <c r="J71" s="221"/>
      <c r="K71" s="221"/>
      <c r="L71" s="221"/>
      <c r="M71" s="221"/>
      <c r="N71" s="221"/>
      <c r="O71" s="221"/>
      <c r="P71" s="221"/>
      <c r="Q71" s="221"/>
    </row>
    <row r="72" spans="3:17" s="25" customFormat="1" hidden="1" outlineLevel="2">
      <c r="D72" s="186" t="str">
        <f>BS_Hist_TA!D71</f>
        <v>Negative Cash</v>
      </c>
      <c r="I72" s="248">
        <f>IF(I$12=0,0,IF(ISERROR(I22),1,IF(ROUND(I22,5)&lt;0,1,0)))</f>
        <v>0</v>
      </c>
      <c r="J72" s="248">
        <f>IF(J$12=0,0,IF(ISERROR(J22),1,IF(ROUND(J22,5)&lt;0,1,0)))</f>
        <v>0</v>
      </c>
      <c r="K72" s="248">
        <f t="shared" ref="K72:Q72" si="34">IF(K$12=0,0,IF(ISERROR(K22),1,IF(ROUND(K22,5)&lt;0,1,0)))</f>
        <v>0</v>
      </c>
      <c r="L72" s="248">
        <f t="shared" si="34"/>
        <v>0</v>
      </c>
      <c r="M72" s="248">
        <f t="shared" si="34"/>
        <v>0</v>
      </c>
      <c r="N72" s="248">
        <f t="shared" si="34"/>
        <v>0</v>
      </c>
      <c r="O72" s="248">
        <f t="shared" si="34"/>
        <v>0</v>
      </c>
      <c r="P72" s="248">
        <f t="shared" si="34"/>
        <v>0</v>
      </c>
      <c r="Q72" s="248">
        <f t="shared" si="34"/>
        <v>0</v>
      </c>
    </row>
    <row r="73" spans="3:17" s="25" customFormat="1" hidden="1" outlineLevel="2">
      <c r="D73" s="186" t="str">
        <f>BS_Hist_TA!D72</f>
        <v>Balancing Item Used</v>
      </c>
      <c r="I73" s="223">
        <f>IF(OR(ISBLANK(I$12),I$12&lt;&gt;0),IF(ISERROR(I63),1,IF(ROUND(I63,5)&lt;&gt;0,1,0)),0)</f>
        <v>0</v>
      </c>
      <c r="J73" s="223">
        <f t="shared" ref="J73:Q73" si="35">IF(OR(ISBLANK(J$12),J$12&lt;&gt;0),IF(ISERROR(J63),1,IF(ROUND(J63,5)&lt;&gt;0,1,0)),0)</f>
        <v>0</v>
      </c>
      <c r="K73" s="223">
        <f t="shared" si="35"/>
        <v>0</v>
      </c>
      <c r="L73" s="223">
        <f t="shared" si="35"/>
        <v>0</v>
      </c>
      <c r="M73" s="223">
        <f t="shared" si="35"/>
        <v>0</v>
      </c>
      <c r="N73" s="223">
        <f t="shared" si="35"/>
        <v>0</v>
      </c>
      <c r="O73" s="223">
        <f t="shared" si="35"/>
        <v>0</v>
      </c>
      <c r="P73" s="223">
        <f t="shared" si="35"/>
        <v>0</v>
      </c>
      <c r="Q73" s="223">
        <f t="shared" si="35"/>
        <v>0</v>
      </c>
    </row>
    <row r="74" spans="3:17" s="25" customFormat="1" collapsed="1">
      <c r="C74" s="186" t="str">
        <f>BS_Hist_TA!C73</f>
        <v>Total Alert Check Result</v>
      </c>
      <c r="H74" s="224">
        <f>IF(ISERROR(SUM(I74:Q74)),0,MIN(SUM(I74:Q74),1))</f>
        <v>0</v>
      </c>
      <c r="I74" s="225">
        <f t="shared" ref="I74:Q74" si="36">MIN(SUM(I72:I73),1)</f>
        <v>0</v>
      </c>
      <c r="J74" s="225">
        <f t="shared" si="36"/>
        <v>0</v>
      </c>
      <c r="K74" s="225">
        <f t="shared" si="36"/>
        <v>0</v>
      </c>
      <c r="L74" s="225">
        <f t="shared" si="36"/>
        <v>0</v>
      </c>
      <c r="M74" s="225">
        <f t="shared" si="36"/>
        <v>0</v>
      </c>
      <c r="N74" s="225">
        <f t="shared" si="36"/>
        <v>0</v>
      </c>
      <c r="O74" s="225">
        <f t="shared" si="36"/>
        <v>0</v>
      </c>
      <c r="P74" s="225">
        <f t="shared" si="36"/>
        <v>0</v>
      </c>
      <c r="Q74" s="225">
        <f t="shared" si="36"/>
        <v>0</v>
      </c>
    </row>
    <row r="75" spans="3:17" s="25" customFormat="1"/>
    <row r="76" spans="3:17" s="25" customFormat="1">
      <c r="C76" s="260" t="str">
        <f>"Go to "&amp;Alt_Chk_1_Hdg</f>
        <v>Go to Balance Sheet - Historical Assumptions</v>
      </c>
      <c r="D76" s="264"/>
      <c r="E76" s="264"/>
      <c r="F76" s="264"/>
      <c r="G76" s="264"/>
      <c r="H76" s="264"/>
    </row>
    <row r="77" spans="3:17" s="25" customFormat="1"/>
    <row r="78" spans="3:17" s="25" customFormat="1">
      <c r="C78" s="180" t="str">
        <f>BS_Hist_TA!C77</f>
        <v>Notes</v>
      </c>
    </row>
    <row r="79" spans="3:17" s="25" customFormat="1">
      <c r="C79" s="219">
        <f>BS_Hist_TA!C78</f>
        <v>1</v>
      </c>
      <c r="D79" s="215"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C76:H76" location="HL_Sheet_Main_22" tooltip="Go to Balance Sheet - Historical Assumptions" display="HL_Sheet_Main_22"/>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Q65"/>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3" max="17" width="12.83203125" customWidth="1"/>
  </cols>
  <sheetData>
    <row r="1" spans="1:17" ht="18">
      <c r="B1" s="1" t="s">
        <v>539</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CFS_Hist_TA!B16</f>
        <v>Cash Flow Statement</v>
      </c>
    </row>
    <row r="17" spans="3:17" s="25" customFormat="1"/>
    <row r="18" spans="3:17" s="25" customFormat="1" ht="11.25">
      <c r="C18" s="217" t="str">
        <f>CFS_Hist_TA!C18</f>
        <v>Cash Flow from Operating Activities</v>
      </c>
    </row>
    <row r="19" spans="3:17" s="25" customFormat="1"/>
    <row r="20" spans="3:17" s="25" customFormat="1" hidden="1" outlineLevel="2">
      <c r="E20" s="204" t="str">
        <f>CFS_Hist_TA!E20</f>
        <v>Revenue</v>
      </c>
      <c r="J20" s="220">
        <f>IF(J$12=0,0,CFS_Hist_TA!J20)</f>
        <v>125</v>
      </c>
      <c r="K20" s="220">
        <f>IF(K$12=0,0,CFS_Hist_TA!K20)</f>
        <v>128.125</v>
      </c>
      <c r="L20" s="220">
        <f>IF(L$12=0,0,CFS_Hist_TA!L20)</f>
        <v>131.328125</v>
      </c>
      <c r="M20" s="220">
        <f>IF(M$12=0,0,CFS_Hist_TA!M20)</f>
        <v>0</v>
      </c>
      <c r="N20" s="220">
        <f>IF(N$12=0,0,CFS_Hist_TA!N20)</f>
        <v>0</v>
      </c>
      <c r="O20" s="220">
        <f>IF(O$12=0,0,CFS_Hist_TA!O20)</f>
        <v>0</v>
      </c>
      <c r="P20" s="220">
        <f>IF(P$12=0,0,CFS_Hist_TA!P20)</f>
        <v>0</v>
      </c>
      <c r="Q20" s="220">
        <f>IF(Q$12=0,0,CFS_Hist_TA!Q20)</f>
        <v>0</v>
      </c>
    </row>
    <row r="21" spans="3:17" s="25" customFormat="1" hidden="1" outlineLevel="2">
      <c r="E21" s="204" t="str">
        <f>CFS_Hist_TA!E21</f>
        <v>Decrease in Accounts Receivable</v>
      </c>
      <c r="J21" s="177">
        <f>IF(J$12=0,0,CFS_Hist_TA!J21)</f>
        <v>10.726027397260282</v>
      </c>
      <c r="K21" s="177">
        <f>IF(K$12=0,0,CFS_Hist_TA!K21)</f>
        <v>-0.25684931506850717</v>
      </c>
      <c r="L21" s="177">
        <f>IF(L$12=0,0,CFS_Hist_TA!L21)</f>
        <v>-0.23377849202785228</v>
      </c>
      <c r="M21" s="177">
        <f>IF(M$12=0,0,CFS_Hist_TA!M21)</f>
        <v>0</v>
      </c>
      <c r="N21" s="177">
        <f>IF(N$12=0,0,CFS_Hist_TA!N21)</f>
        <v>0</v>
      </c>
      <c r="O21" s="177">
        <f>IF(O$12=0,0,CFS_Hist_TA!O21)</f>
        <v>0</v>
      </c>
      <c r="P21" s="177">
        <f>IF(P$12=0,0,CFS_Hist_TA!P21)</f>
        <v>0</v>
      </c>
      <c r="Q21" s="177">
        <f>IF(Q$12=0,0,CFS_Hist_TA!Q21)</f>
        <v>0</v>
      </c>
    </row>
    <row r="22" spans="3:17" s="25" customFormat="1" collapsed="1">
      <c r="D22" s="204" t="str">
        <f>CFS_Hist_TA!D22</f>
        <v>Cash Receipts</v>
      </c>
      <c r="J22" s="220">
        <f t="shared" ref="J22" si="8">J20+J21</f>
        <v>135.72602739726028</v>
      </c>
      <c r="K22" s="220">
        <f t="shared" ref="K22:Q22" si="9">K20+K21</f>
        <v>127.86815068493149</v>
      </c>
      <c r="L22" s="220">
        <f t="shared" si="9"/>
        <v>131.09434650797215</v>
      </c>
      <c r="M22" s="220">
        <f t="shared" si="9"/>
        <v>0</v>
      </c>
      <c r="N22" s="220">
        <f t="shared" si="9"/>
        <v>0</v>
      </c>
      <c r="O22" s="220">
        <f t="shared" si="9"/>
        <v>0</v>
      </c>
      <c r="P22" s="220">
        <f t="shared" si="9"/>
        <v>0</v>
      </c>
      <c r="Q22" s="220">
        <f t="shared" si="9"/>
        <v>0</v>
      </c>
    </row>
    <row r="23" spans="3:17" s="25" customFormat="1" hidden="1" outlineLevel="2">
      <c r="D23" s="186"/>
      <c r="E23" s="204" t="str">
        <f>CFS_Hist_TA!E23</f>
        <v>Cost of Goods Sold</v>
      </c>
      <c r="J23" s="220">
        <f>IF(J$12=0,0,CFS_Hist_TA!J23)</f>
        <v>-25</v>
      </c>
      <c r="K23" s="220">
        <f>IF(K$12=0,0,CFS_Hist_TA!K23)</f>
        <v>-25.624999999999996</v>
      </c>
      <c r="L23" s="220">
        <f>IF(L$12=0,0,CFS_Hist_TA!L23)</f>
        <v>-26.265624999999993</v>
      </c>
      <c r="M23" s="220">
        <f>IF(M$12=0,0,CFS_Hist_TA!M23)</f>
        <v>0</v>
      </c>
      <c r="N23" s="220">
        <f>IF(N$12=0,0,CFS_Hist_TA!N23)</f>
        <v>0</v>
      </c>
      <c r="O23" s="220">
        <f>IF(O$12=0,0,CFS_Hist_TA!O23)</f>
        <v>0</v>
      </c>
      <c r="P23" s="220">
        <f>IF(P$12=0,0,CFS_Hist_TA!P23)</f>
        <v>0</v>
      </c>
      <c r="Q23" s="220">
        <f>IF(Q$12=0,0,CFS_Hist_TA!Q23)</f>
        <v>0</v>
      </c>
    </row>
    <row r="24" spans="3:17" s="25" customFormat="1" hidden="1" outlineLevel="2">
      <c r="D24" s="186"/>
      <c r="E24" s="204" t="str">
        <f>CFS_Hist_TA!E24</f>
        <v>Operating Expenditure</v>
      </c>
      <c r="J24" s="220">
        <f>IF(J$12=0,0,CFS_Hist_TA!J24)</f>
        <v>-40</v>
      </c>
      <c r="K24" s="220">
        <f>IF(K$12=0,0,CFS_Hist_TA!K24)</f>
        <v>-41</v>
      </c>
      <c r="L24" s="220">
        <f>IF(L$12=0,0,CFS_Hist_TA!L24)</f>
        <v>-42.024999999999999</v>
      </c>
      <c r="M24" s="220">
        <f>IF(M$12=0,0,CFS_Hist_TA!M24)</f>
        <v>0</v>
      </c>
      <c r="N24" s="220">
        <f>IF(N$12=0,0,CFS_Hist_TA!N24)</f>
        <v>0</v>
      </c>
      <c r="O24" s="220">
        <f>IF(O$12=0,0,CFS_Hist_TA!O24)</f>
        <v>0</v>
      </c>
      <c r="P24" s="220">
        <f>IF(P$12=0,0,CFS_Hist_TA!P24)</f>
        <v>0</v>
      </c>
      <c r="Q24" s="220">
        <f>IF(Q$12=0,0,CFS_Hist_TA!Q24)</f>
        <v>0</v>
      </c>
    </row>
    <row r="25" spans="3:17" s="25" customFormat="1" hidden="1" outlineLevel="2">
      <c r="D25" s="186"/>
      <c r="E25" s="204" t="str">
        <f>CFS_Hist_TA!E25</f>
        <v>Increase in Accounts Payable</v>
      </c>
      <c r="J25" s="177">
        <f>IF(J$12=0,0,CFS_Hist_TA!J25)</f>
        <v>-7.9863013698630141</v>
      </c>
      <c r="K25" s="177">
        <f>IF(K$12=0,0,CFS_Hist_TA!K25)</f>
        <v>0.20034246575342252</v>
      </c>
      <c r="L25" s="177">
        <f>IF(L$12=0,0,CFS_Hist_TA!L25)</f>
        <v>0.18234722378171853</v>
      </c>
      <c r="M25" s="177">
        <f>IF(M$12=0,0,CFS_Hist_TA!M25)</f>
        <v>0</v>
      </c>
      <c r="N25" s="177">
        <f>IF(N$12=0,0,CFS_Hist_TA!N25)</f>
        <v>0</v>
      </c>
      <c r="O25" s="177">
        <f>IF(O$12=0,0,CFS_Hist_TA!O25)</f>
        <v>0</v>
      </c>
      <c r="P25" s="177">
        <f>IF(P$12=0,0,CFS_Hist_TA!P25)</f>
        <v>0</v>
      </c>
      <c r="Q25" s="177">
        <f>IF(Q$12=0,0,CFS_Hist_TA!Q25)</f>
        <v>0</v>
      </c>
    </row>
    <row r="26" spans="3:17" s="25" customFormat="1" collapsed="1">
      <c r="D26" s="204" t="str">
        <f>CFS_Hist_TA!D26</f>
        <v>Cash Payments</v>
      </c>
      <c r="J26" s="220">
        <f t="shared" ref="J26" si="10">SUM(J23:J25)</f>
        <v>-72.986301369863014</v>
      </c>
      <c r="K26" s="220">
        <f t="shared" ref="K26:Q26" si="11">SUM(K23:K25)</f>
        <v>-66.424657534246577</v>
      </c>
      <c r="L26" s="220">
        <f t="shared" si="11"/>
        <v>-68.108277776218273</v>
      </c>
      <c r="M26" s="220">
        <f t="shared" si="11"/>
        <v>0</v>
      </c>
      <c r="N26" s="220">
        <f t="shared" si="11"/>
        <v>0</v>
      </c>
      <c r="O26" s="220">
        <f t="shared" si="11"/>
        <v>0</v>
      </c>
      <c r="P26" s="220">
        <f t="shared" si="11"/>
        <v>0</v>
      </c>
      <c r="Q26" s="220">
        <f t="shared" si="11"/>
        <v>0</v>
      </c>
    </row>
    <row r="27" spans="3:17" s="25" customFormat="1">
      <c r="D27" s="204" t="str">
        <f>CFS_Hist_TA!D27</f>
        <v>Interest Paid</v>
      </c>
      <c r="J27" s="220">
        <f>IF(J$12=0,0,CFS_Hist_TA!J27)</f>
        <v>-3.25</v>
      </c>
      <c r="K27" s="220">
        <f>IF(K$12=0,0,CFS_Hist_TA!K27)</f>
        <v>-3.25</v>
      </c>
      <c r="L27" s="220">
        <f>IF(L$12=0,0,CFS_Hist_TA!L27)</f>
        <v>-3.25</v>
      </c>
      <c r="M27" s="220">
        <f>IF(M$12=0,0,CFS_Hist_TA!M27)</f>
        <v>0</v>
      </c>
      <c r="N27" s="220">
        <f>IF(N$12=0,0,CFS_Hist_TA!N27)</f>
        <v>0</v>
      </c>
      <c r="O27" s="220">
        <f>IF(O$12=0,0,CFS_Hist_TA!O27)</f>
        <v>0</v>
      </c>
      <c r="P27" s="220">
        <f>IF(P$12=0,0,CFS_Hist_TA!P27)</f>
        <v>0</v>
      </c>
      <c r="Q27" s="220">
        <f>IF(Q$12=0,0,CFS_Hist_TA!Q27)</f>
        <v>0</v>
      </c>
    </row>
    <row r="28" spans="3:17" s="25" customFormat="1">
      <c r="D28" s="204" t="str">
        <f>CFS_Hist_TA!D28</f>
        <v>Tax Paid</v>
      </c>
      <c r="J28" s="220">
        <f>IF(J$12=0,0,CFS_Hist_TA!J28)</f>
        <v>-3.5</v>
      </c>
      <c r="K28" s="220">
        <f>IF(K$12=0,0,CFS_Hist_TA!K28)</f>
        <v>-12.7875</v>
      </c>
      <c r="L28" s="220">
        <f>IF(L$12=0,0,CFS_Hist_TA!L28)</f>
        <v>-13.131562499999999</v>
      </c>
      <c r="M28" s="220">
        <f>IF(M$12=0,0,CFS_Hist_TA!M28)</f>
        <v>0</v>
      </c>
      <c r="N28" s="220">
        <f>IF(N$12=0,0,CFS_Hist_TA!N28)</f>
        <v>0</v>
      </c>
      <c r="O28" s="220">
        <f>IF(O$12=0,0,CFS_Hist_TA!O28)</f>
        <v>0</v>
      </c>
      <c r="P28" s="220">
        <f>IF(P$12=0,0,CFS_Hist_TA!P28)</f>
        <v>0</v>
      </c>
      <c r="Q28" s="220">
        <f>IF(Q$12=0,0,CFS_Hist_TA!Q28)</f>
        <v>0</v>
      </c>
    </row>
    <row r="29" spans="3:17" s="25" customFormat="1">
      <c r="D29" s="204" t="str">
        <f>CFS_Hist_TA!D29</f>
        <v>Decrease in Other Current Assets</v>
      </c>
      <c r="J29" s="220">
        <f>IF(J$12=0,0,CFS_Hist_TA!J29)</f>
        <v>-1</v>
      </c>
      <c r="K29" s="220">
        <f>IF(K$12=0,0,CFS_Hist_TA!K29)</f>
        <v>-1</v>
      </c>
      <c r="L29" s="220">
        <f>IF(L$12=0,0,CFS_Hist_TA!L29)</f>
        <v>-1</v>
      </c>
      <c r="M29" s="220">
        <f>IF(M$12=0,0,CFS_Hist_TA!M29)</f>
        <v>0</v>
      </c>
      <c r="N29" s="220">
        <f>IF(N$12=0,0,CFS_Hist_TA!N29)</f>
        <v>0</v>
      </c>
      <c r="O29" s="220">
        <f>IF(O$12=0,0,CFS_Hist_TA!O29)</f>
        <v>0</v>
      </c>
      <c r="P29" s="220">
        <f>IF(P$12=0,0,CFS_Hist_TA!P29)</f>
        <v>0</v>
      </c>
      <c r="Q29" s="220">
        <f>IF(Q$12=0,0,CFS_Hist_TA!Q29)</f>
        <v>0</v>
      </c>
    </row>
    <row r="30" spans="3:17" s="25" customFormat="1">
      <c r="D30" s="204" t="str">
        <f>CFS_Hist_TA!D30</f>
        <v>Increase in Other Current Liabilities</v>
      </c>
      <c r="J30" s="220">
        <f>IF(J$12=0,0,CFS_Hist_TA!J30)</f>
        <v>1</v>
      </c>
      <c r="K30" s="220">
        <f>IF(K$12=0,0,CFS_Hist_TA!K30)</f>
        <v>1</v>
      </c>
      <c r="L30" s="220">
        <f>IF(L$12=0,0,CFS_Hist_TA!L30)</f>
        <v>1</v>
      </c>
      <c r="M30" s="220">
        <f>IF(M$12=0,0,CFS_Hist_TA!M30)</f>
        <v>0</v>
      </c>
      <c r="N30" s="220">
        <f>IF(N$12=0,0,CFS_Hist_TA!N30)</f>
        <v>0</v>
      </c>
      <c r="O30" s="220">
        <f>IF(O$12=0,0,CFS_Hist_TA!O30)</f>
        <v>0</v>
      </c>
      <c r="P30" s="220">
        <f>IF(P$12=0,0,CFS_Hist_TA!P30)</f>
        <v>0</v>
      </c>
      <c r="Q30" s="220">
        <f>IF(Q$12=0,0,CFS_Hist_TA!Q30)</f>
        <v>0</v>
      </c>
    </row>
    <row r="31" spans="3:17" s="25" customFormat="1">
      <c r="D31" s="180" t="str">
        <f>CFS_Hist_TA!D31</f>
        <v>Net Cash Flow from Operating Activities</v>
      </c>
      <c r="J31" s="212">
        <f t="shared" ref="J31" si="12">J22+J26+SUM(J27:J30)</f>
        <v>55.989726027397268</v>
      </c>
      <c r="K31" s="212">
        <f t="shared" ref="K31:Q31" si="13">K22+K26+SUM(K27:K30)</f>
        <v>45.405993150684914</v>
      </c>
      <c r="L31" s="212">
        <f t="shared" si="13"/>
        <v>46.604506231753874</v>
      </c>
      <c r="M31" s="212">
        <f t="shared" si="13"/>
        <v>0</v>
      </c>
      <c r="N31" s="212">
        <f t="shared" si="13"/>
        <v>0</v>
      </c>
      <c r="O31" s="212">
        <f t="shared" si="13"/>
        <v>0</v>
      </c>
      <c r="P31" s="212">
        <f t="shared" si="13"/>
        <v>0</v>
      </c>
      <c r="Q31" s="212">
        <f t="shared" si="13"/>
        <v>0</v>
      </c>
    </row>
    <row r="32" spans="3:17" s="25" customFormat="1">
      <c r="J32" s="144"/>
      <c r="K32" s="144"/>
      <c r="L32" s="144"/>
      <c r="M32" s="144"/>
      <c r="N32" s="144"/>
      <c r="O32" s="144"/>
      <c r="P32" s="144"/>
      <c r="Q32" s="144"/>
    </row>
    <row r="33" spans="3:17" s="25" customFormat="1" ht="11.25">
      <c r="C33" s="217" t="str">
        <f>CFS_Hist_TA!C33</f>
        <v>Cash Flow from Investing Activities</v>
      </c>
      <c r="J33" s="144"/>
      <c r="K33" s="144"/>
      <c r="L33" s="144"/>
      <c r="M33" s="144"/>
      <c r="N33" s="144"/>
      <c r="O33" s="144"/>
      <c r="P33" s="144"/>
      <c r="Q33" s="144"/>
    </row>
    <row r="34" spans="3:17" s="25" customFormat="1">
      <c r="J34" s="144"/>
      <c r="K34" s="144"/>
      <c r="L34" s="144"/>
      <c r="M34" s="144"/>
      <c r="N34" s="144"/>
      <c r="O34" s="144"/>
      <c r="P34" s="144"/>
      <c r="Q34" s="144"/>
    </row>
    <row r="35" spans="3:17" s="25" customFormat="1">
      <c r="D35" s="204" t="str">
        <f>CFS_Hist_TA!D35</f>
        <v>Capital Expenditure - Assets</v>
      </c>
      <c r="J35" s="220">
        <f>IF(J$12=0,0,CFS_Hist_TA!J35)</f>
        <v>-15</v>
      </c>
      <c r="K35" s="220">
        <f>IF(K$12=0,0,CFS_Hist_TA!K35)</f>
        <v>-15.374999999999998</v>
      </c>
      <c r="L35" s="220">
        <f>IF(L$12=0,0,CFS_Hist_TA!L35)</f>
        <v>-15.759374999999997</v>
      </c>
      <c r="M35" s="220">
        <f>IF(M$12=0,0,CFS_Hist_TA!M35)</f>
        <v>0</v>
      </c>
      <c r="N35" s="220">
        <f>IF(N$12=0,0,CFS_Hist_TA!N35)</f>
        <v>0</v>
      </c>
      <c r="O35" s="220">
        <f>IF(O$12=0,0,CFS_Hist_TA!O35)</f>
        <v>0</v>
      </c>
      <c r="P35" s="220">
        <f>IF(P$12=0,0,CFS_Hist_TA!P35)</f>
        <v>0</v>
      </c>
      <c r="Q35" s="220">
        <f>IF(Q$12=0,0,CFS_Hist_TA!Q35)</f>
        <v>0</v>
      </c>
    </row>
    <row r="36" spans="3:17" s="25" customFormat="1">
      <c r="D36" s="204" t="str">
        <f>CFS_Hist_TA!D36</f>
        <v>Capital Expenditure - Intangibles</v>
      </c>
      <c r="J36" s="220">
        <f>IF(J$12=0,0,CFS_Hist_TA!J36)</f>
        <v>-2.5</v>
      </c>
      <c r="K36" s="220">
        <f>IF(K$12=0,0,CFS_Hist_TA!K36)</f>
        <v>-2.5625</v>
      </c>
      <c r="L36" s="220">
        <f>IF(L$12=0,0,CFS_Hist_TA!L36)</f>
        <v>-2.6265624999999999</v>
      </c>
      <c r="M36" s="220">
        <f>IF(M$12=0,0,CFS_Hist_TA!M36)</f>
        <v>0</v>
      </c>
      <c r="N36" s="220">
        <f>IF(N$12=0,0,CFS_Hist_TA!N36)</f>
        <v>0</v>
      </c>
      <c r="O36" s="220">
        <f>IF(O$12=0,0,CFS_Hist_TA!O36)</f>
        <v>0</v>
      </c>
      <c r="P36" s="220">
        <f>IF(P$12=0,0,CFS_Hist_TA!P36)</f>
        <v>0</v>
      </c>
      <c r="Q36" s="220">
        <f>IF(Q$12=0,0,CFS_Hist_TA!Q36)</f>
        <v>0</v>
      </c>
    </row>
    <row r="37" spans="3:17" s="25" customFormat="1">
      <c r="D37" s="204" t="str">
        <f>CFS_Hist_TA!D37</f>
        <v>Decrease in Other Non-Current Assets</v>
      </c>
      <c r="J37" s="220">
        <f>IF(J$12=0,0,CFS_Hist_TA!J37)</f>
        <v>-1</v>
      </c>
      <c r="K37" s="220">
        <f>IF(K$12=0,0,CFS_Hist_TA!K37)</f>
        <v>-1</v>
      </c>
      <c r="L37" s="220">
        <f>IF(L$12=0,0,CFS_Hist_TA!L37)</f>
        <v>-1</v>
      </c>
      <c r="M37" s="220">
        <f>IF(M$12=0,0,CFS_Hist_TA!M37)</f>
        <v>0</v>
      </c>
      <c r="N37" s="220">
        <f>IF(N$12=0,0,CFS_Hist_TA!N37)</f>
        <v>0</v>
      </c>
      <c r="O37" s="220">
        <f>IF(O$12=0,0,CFS_Hist_TA!O37)</f>
        <v>0</v>
      </c>
      <c r="P37" s="220">
        <f>IF(P$12=0,0,CFS_Hist_TA!P37)</f>
        <v>0</v>
      </c>
      <c r="Q37" s="220">
        <f>IF(Q$12=0,0,CFS_Hist_TA!Q37)</f>
        <v>0</v>
      </c>
    </row>
    <row r="38" spans="3:17" s="25" customFormat="1">
      <c r="D38" s="204" t="str">
        <f>CFS_Hist_TA!D38</f>
        <v>Increase in Other Non-Current Liabilities</v>
      </c>
      <c r="J38" s="220">
        <f>IF(J$12=0,0,CFS_Hist_TA!J38)</f>
        <v>1</v>
      </c>
      <c r="K38" s="220">
        <f>IF(K$12=0,0,CFS_Hist_TA!K38)</f>
        <v>1</v>
      </c>
      <c r="L38" s="220">
        <f>IF(L$12=0,0,CFS_Hist_TA!L38)</f>
        <v>1</v>
      </c>
      <c r="M38" s="220">
        <f>IF(M$12=0,0,CFS_Hist_TA!M38)</f>
        <v>0</v>
      </c>
      <c r="N38" s="220">
        <f>IF(N$12=0,0,CFS_Hist_TA!N38)</f>
        <v>0</v>
      </c>
      <c r="O38" s="220">
        <f>IF(O$12=0,0,CFS_Hist_TA!O38)</f>
        <v>0</v>
      </c>
      <c r="P38" s="220">
        <f>IF(P$12=0,0,CFS_Hist_TA!P38)</f>
        <v>0</v>
      </c>
      <c r="Q38" s="220">
        <f>IF(Q$12=0,0,CFS_Hist_TA!Q38)</f>
        <v>0</v>
      </c>
    </row>
    <row r="39" spans="3:17" s="25" customFormat="1">
      <c r="D39" s="180" t="str">
        <f>CFS_Hist_TA!D39</f>
        <v>Net Cash Flow from Investing Activities</v>
      </c>
      <c r="J39" s="212">
        <f t="shared" ref="J39" si="14">SUM(J35:J38)</f>
        <v>-17.5</v>
      </c>
      <c r="K39" s="212">
        <f t="shared" ref="K39:Q39" si="15">SUM(K35:K38)</f>
        <v>-17.9375</v>
      </c>
      <c r="L39" s="212">
        <f t="shared" si="15"/>
        <v>-18.385937499999997</v>
      </c>
      <c r="M39" s="212">
        <f t="shared" si="15"/>
        <v>0</v>
      </c>
      <c r="N39" s="212">
        <f t="shared" si="15"/>
        <v>0</v>
      </c>
      <c r="O39" s="212">
        <f t="shared" si="15"/>
        <v>0</v>
      </c>
      <c r="P39" s="212">
        <f t="shared" si="15"/>
        <v>0</v>
      </c>
      <c r="Q39" s="212">
        <f t="shared" si="15"/>
        <v>0</v>
      </c>
    </row>
    <row r="40" spans="3:17" s="25" customFormat="1">
      <c r="J40" s="144"/>
      <c r="K40" s="144"/>
      <c r="L40" s="144"/>
      <c r="M40" s="144"/>
      <c r="N40" s="144"/>
      <c r="O40" s="144"/>
      <c r="P40" s="144"/>
      <c r="Q40" s="144"/>
    </row>
    <row r="41" spans="3:17" s="25" customFormat="1" ht="11.25">
      <c r="C41" s="217" t="str">
        <f>CFS_Hist_TA!C41</f>
        <v>Cash Flow from Financing Activities</v>
      </c>
      <c r="J41" s="144"/>
      <c r="K41" s="144"/>
      <c r="L41" s="144"/>
      <c r="M41" s="144"/>
      <c r="N41" s="144"/>
      <c r="O41" s="144"/>
      <c r="P41" s="144"/>
      <c r="Q41" s="144"/>
    </row>
    <row r="42" spans="3:17" s="25" customFormat="1">
      <c r="J42" s="144"/>
      <c r="K42" s="144"/>
      <c r="L42" s="144"/>
      <c r="M42" s="144"/>
      <c r="N42" s="144"/>
      <c r="O42" s="144"/>
      <c r="P42" s="144"/>
      <c r="Q42" s="144"/>
    </row>
    <row r="43" spans="3:17" s="25" customFormat="1">
      <c r="D43" s="204" t="str">
        <f>CFS_Hist_TA!D43</f>
        <v>Debt Drawdowns</v>
      </c>
      <c r="J43" s="220">
        <f>IF(J$12=0,0,CFS_Hist_TA!J43)</f>
        <v>0</v>
      </c>
      <c r="K43" s="220">
        <f>IF(K$12=0,0,CFS_Hist_TA!K43)</f>
        <v>0</v>
      </c>
      <c r="L43" s="220">
        <f>IF(L$12=0,0,CFS_Hist_TA!L43)</f>
        <v>0</v>
      </c>
      <c r="M43" s="220">
        <f>IF(M$12=0,0,CFS_Hist_TA!M43)</f>
        <v>0</v>
      </c>
      <c r="N43" s="220">
        <f>IF(N$12=0,0,CFS_Hist_TA!N43)</f>
        <v>0</v>
      </c>
      <c r="O43" s="220">
        <f>IF(O$12=0,0,CFS_Hist_TA!O43)</f>
        <v>0</v>
      </c>
      <c r="P43" s="220">
        <f>IF(P$12=0,0,CFS_Hist_TA!P43)</f>
        <v>0</v>
      </c>
      <c r="Q43" s="220">
        <f>IF(Q$12=0,0,CFS_Hist_TA!Q43)</f>
        <v>0</v>
      </c>
    </row>
    <row r="44" spans="3:17" s="25" customFormat="1">
      <c r="D44" s="204" t="str">
        <f>CFS_Hist_TA!D44</f>
        <v>Debt Repayments</v>
      </c>
      <c r="J44" s="220">
        <f>IF(J$12=0,0,CFS_Hist_TA!J44)</f>
        <v>0</v>
      </c>
      <c r="K44" s="220">
        <f>IF(K$12=0,0,CFS_Hist_TA!K44)</f>
        <v>0</v>
      </c>
      <c r="L44" s="220">
        <f>IF(L$12=0,0,CFS_Hist_TA!L44)</f>
        <v>0</v>
      </c>
      <c r="M44" s="220">
        <f>IF(M$12=0,0,CFS_Hist_TA!M44)</f>
        <v>0</v>
      </c>
      <c r="N44" s="220">
        <f>IF(N$12=0,0,CFS_Hist_TA!N44)</f>
        <v>0</v>
      </c>
      <c r="O44" s="220">
        <f>IF(O$12=0,0,CFS_Hist_TA!O44)</f>
        <v>0</v>
      </c>
      <c r="P44" s="220">
        <f>IF(P$12=0,0,CFS_Hist_TA!P44)</f>
        <v>0</v>
      </c>
      <c r="Q44" s="220">
        <f>IF(Q$12=0,0,CFS_Hist_TA!Q44)</f>
        <v>0</v>
      </c>
    </row>
    <row r="45" spans="3:17" s="25" customFormat="1">
      <c r="D45" s="204" t="str">
        <f>CFS_Hist_TA!D45</f>
        <v>Equity Raisings</v>
      </c>
      <c r="J45" s="220">
        <f>IF(J$12=0,0,CFS_Hist_TA!J45)</f>
        <v>0</v>
      </c>
      <c r="K45" s="220">
        <f>IF(K$12=0,0,CFS_Hist_TA!K45)</f>
        <v>0</v>
      </c>
      <c r="L45" s="220">
        <f>IF(L$12=0,0,CFS_Hist_TA!L45)</f>
        <v>0</v>
      </c>
      <c r="M45" s="220">
        <f>IF(M$12=0,0,CFS_Hist_TA!M45)</f>
        <v>0</v>
      </c>
      <c r="N45" s="220">
        <f>IF(N$12=0,0,CFS_Hist_TA!N45)</f>
        <v>0</v>
      </c>
      <c r="O45" s="220">
        <f>IF(O$12=0,0,CFS_Hist_TA!O45)</f>
        <v>0</v>
      </c>
      <c r="P45" s="220">
        <f>IF(P$12=0,0,CFS_Hist_TA!P45)</f>
        <v>0</v>
      </c>
      <c r="Q45" s="220">
        <f>IF(Q$12=0,0,CFS_Hist_TA!Q45)</f>
        <v>0</v>
      </c>
    </row>
    <row r="46" spans="3:17" s="25" customFormat="1">
      <c r="D46" s="204" t="str">
        <f>CFS_Hist_TA!D46</f>
        <v>Equity Repayments</v>
      </c>
      <c r="J46" s="220">
        <f>IF(J$12=0,0,CFS_Hist_TA!J46)</f>
        <v>0</v>
      </c>
      <c r="K46" s="220">
        <f>IF(K$12=0,0,CFS_Hist_TA!K46)</f>
        <v>0</v>
      </c>
      <c r="L46" s="220">
        <f>IF(L$12=0,0,CFS_Hist_TA!L46)</f>
        <v>0</v>
      </c>
      <c r="M46" s="220">
        <f>IF(M$12=0,0,CFS_Hist_TA!M46)</f>
        <v>0</v>
      </c>
      <c r="N46" s="220">
        <f>IF(N$12=0,0,CFS_Hist_TA!N46)</f>
        <v>0</v>
      </c>
      <c r="O46" s="220">
        <f>IF(O$12=0,0,CFS_Hist_TA!O46)</f>
        <v>0</v>
      </c>
      <c r="P46" s="220">
        <f>IF(P$12=0,0,CFS_Hist_TA!P46)</f>
        <v>0</v>
      </c>
      <c r="Q46" s="220">
        <f>IF(Q$12=0,0,CFS_Hist_TA!Q46)</f>
        <v>0</v>
      </c>
    </row>
    <row r="47" spans="3:17" s="25" customFormat="1">
      <c r="D47" s="204" t="str">
        <f>CFS_Hist_TA!D47</f>
        <v>Dividends Paid During Period</v>
      </c>
      <c r="J47" s="220">
        <f>IF(J$12=0,0,CFS_Hist_TA!J47)</f>
        <v>-14.918749999999999</v>
      </c>
      <c r="K47" s="220">
        <f>IF(K$12=0,0,CFS_Hist_TA!K47)</f>
        <v>-15.32015625</v>
      </c>
      <c r="L47" s="220">
        <f>IF(L$12=0,0,CFS_Hist_TA!L47)</f>
        <v>-15.731597656250003</v>
      </c>
      <c r="M47" s="220">
        <f>IF(M$12=0,0,CFS_Hist_TA!M47)</f>
        <v>0</v>
      </c>
      <c r="N47" s="220">
        <f>IF(N$12=0,0,CFS_Hist_TA!N47)</f>
        <v>0</v>
      </c>
      <c r="O47" s="220">
        <f>IF(O$12=0,0,CFS_Hist_TA!O47)</f>
        <v>0</v>
      </c>
      <c r="P47" s="220">
        <f>IF(P$12=0,0,CFS_Hist_TA!P47)</f>
        <v>0</v>
      </c>
      <c r="Q47" s="220">
        <f>IF(Q$12=0,0,CFS_Hist_TA!Q47)</f>
        <v>0</v>
      </c>
    </row>
    <row r="48" spans="3:17" s="25" customFormat="1">
      <c r="D48" s="204" t="str">
        <f>CFS_Hist_TA!D48</f>
        <v>Increase in Other Equity</v>
      </c>
      <c r="J48" s="220">
        <f>IF(J$12=0,0,CFS_Hist_TA!J48)</f>
        <v>0.1</v>
      </c>
      <c r="K48" s="220">
        <f>IF(K$12=0,0,CFS_Hist_TA!K48)</f>
        <v>0.1</v>
      </c>
      <c r="L48" s="220">
        <f>IF(L$12=0,0,CFS_Hist_TA!L48)</f>
        <v>0.1</v>
      </c>
      <c r="M48" s="220">
        <f>IF(M$12=0,0,CFS_Hist_TA!M48)</f>
        <v>0</v>
      </c>
      <c r="N48" s="220">
        <f>IF(N$12=0,0,CFS_Hist_TA!N48)</f>
        <v>0</v>
      </c>
      <c r="O48" s="220">
        <f>IF(O$12=0,0,CFS_Hist_TA!O48)</f>
        <v>0</v>
      </c>
      <c r="P48" s="220">
        <f>IF(P$12=0,0,CFS_Hist_TA!P48)</f>
        <v>0</v>
      </c>
      <c r="Q48" s="220">
        <f>IF(Q$12=0,0,CFS_Hist_TA!Q48)</f>
        <v>0</v>
      </c>
    </row>
    <row r="49" spans="3:17" s="25" customFormat="1">
      <c r="D49" s="180" t="str">
        <f>CFS_Hist_TA!D49</f>
        <v>Net Cash Flow from Financing Activities</v>
      </c>
      <c r="J49" s="212">
        <f>SUM(J43:J48)</f>
        <v>-14.81875</v>
      </c>
      <c r="K49" s="212">
        <f t="shared" ref="K49:Q49" si="16">SUM(K43:K48)</f>
        <v>-15.22015625</v>
      </c>
      <c r="L49" s="212">
        <f t="shared" si="16"/>
        <v>-15.631597656250003</v>
      </c>
      <c r="M49" s="212">
        <f t="shared" si="16"/>
        <v>0</v>
      </c>
      <c r="N49" s="212">
        <f t="shared" si="16"/>
        <v>0</v>
      </c>
      <c r="O49" s="212">
        <f t="shared" si="16"/>
        <v>0</v>
      </c>
      <c r="P49" s="212">
        <f t="shared" si="16"/>
        <v>0</v>
      </c>
      <c r="Q49" s="212">
        <f t="shared" si="16"/>
        <v>0</v>
      </c>
    </row>
    <row r="50" spans="3:17" s="25" customFormat="1">
      <c r="J50" s="144"/>
      <c r="K50" s="144"/>
      <c r="L50" s="144"/>
      <c r="M50" s="144"/>
      <c r="N50" s="144"/>
      <c r="O50" s="144"/>
      <c r="P50" s="144"/>
      <c r="Q50" s="144"/>
    </row>
    <row r="51" spans="3:17" s="25" customFormat="1" ht="12" thickBot="1">
      <c r="C51" s="217" t="str">
        <f>CFS_Hist_TA!C51</f>
        <v>Net Increase / (Decrease) in Cash Held</v>
      </c>
      <c r="J51" s="214">
        <f t="shared" ref="J51" si="17">J31+J39+J49</f>
        <v>23.670976027397266</v>
      </c>
      <c r="K51" s="214">
        <f t="shared" ref="K51:Q51" si="18">K31+K39+K49</f>
        <v>12.248336900684913</v>
      </c>
      <c r="L51" s="214">
        <f t="shared" si="18"/>
        <v>12.586971075503874</v>
      </c>
      <c r="M51" s="214">
        <f t="shared" si="18"/>
        <v>0</v>
      </c>
      <c r="N51" s="214">
        <f t="shared" si="18"/>
        <v>0</v>
      </c>
      <c r="O51" s="214">
        <f t="shared" si="18"/>
        <v>0</v>
      </c>
      <c r="P51" s="214">
        <f t="shared" si="18"/>
        <v>0</v>
      </c>
      <c r="Q51" s="214">
        <f t="shared" si="18"/>
        <v>0</v>
      </c>
    </row>
    <row r="52" spans="3:17" s="25" customFormat="1" ht="11.25" thickTop="1"/>
    <row r="53" spans="3:17" s="25" customFormat="1">
      <c r="C53" s="260" t="str">
        <f>"Go to "&amp;CFS_Hist_TA!$B$1</f>
        <v>Go to Cash Flow Statement - Historical Assumptions</v>
      </c>
      <c r="D53" s="264"/>
      <c r="E53" s="264"/>
      <c r="F53" s="264"/>
      <c r="G53" s="264"/>
      <c r="H53" s="264"/>
      <c r="I53" s="264"/>
    </row>
    <row r="54" spans="3:17" s="25" customFormat="1"/>
    <row r="55" spans="3:17" s="25" customFormat="1">
      <c r="C55" s="180" t="str">
        <f>CFS_Hist_TA!C55</f>
        <v>Notes</v>
      </c>
    </row>
    <row r="56" spans="3:17" s="25" customFormat="1">
      <c r="C56" s="219">
        <f>CFS_Hist_TA!C56</f>
        <v>1</v>
      </c>
      <c r="D56" s="215" t="str">
        <f>"All cash flows are specified in "&amp;INDEX(LU_Denom,DD_TS_Denom)&amp;"."</f>
        <v>All cash flows are specified in $Millions.</v>
      </c>
    </row>
    <row r="57" spans="3:17" s="25" customFormat="1"/>
    <row r="58" spans="3:17" s="25" customFormat="1"/>
    <row r="59" spans="3:17" s="25" customFormat="1"/>
    <row r="60" spans="3:17" s="25" customFormat="1"/>
    <row r="61" spans="3:17" s="25" customFormat="1"/>
    <row r="62" spans="3:17" s="25" customFormat="1"/>
    <row r="63" spans="3:17" s="25" customFormat="1"/>
    <row r="64" spans="3:17" s="25" customFormat="1"/>
    <row r="65" s="25"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C53:I53" location="HL_Sheet_Main_23" tooltip="Go to Cash Flow Statements - Historical Assumptions" display="HL_Sheet_Main_23"/>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503</v>
      </c>
    </row>
    <row r="10" spans="3:7" ht="16.5">
      <c r="C10" s="28" t="s">
        <v>511</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499</v>
      </c>
    </row>
    <row r="18" spans="3:3">
      <c r="C18" s="178" t="s">
        <v>504</v>
      </c>
    </row>
    <row r="19" spans="3:3">
      <c r="C19" s="178"/>
    </row>
    <row r="20" spans="3:3">
      <c r="C20" s="178"/>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s>
  <sheetData>
    <row r="1" spans="1:17" ht="18">
      <c r="B1" s="1" t="s">
        <v>503</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06"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06"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06"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06"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06"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398</v>
      </c>
    </row>
    <row r="18" spans="2:17" s="16" customFormat="1">
      <c r="C18" s="5" t="str">
        <f>Fcast_TA!C18</f>
        <v>Revenue</v>
      </c>
      <c r="J18" s="95">
        <f>IF(J$12&lt;TS_Data_Total_Pers,0,Fcast_TA!J18)</f>
        <v>0</v>
      </c>
      <c r="K18" s="95">
        <f>IF(K$12&lt;TS_Data_Total_Pers,0,Fcast_TA!K18)</f>
        <v>0</v>
      </c>
      <c r="L18" s="95">
        <f>IF(L$12&lt;TS_Data_Total_Pers,0,Fcast_TA!L18)</f>
        <v>0</v>
      </c>
      <c r="M18" s="95">
        <f>IF(M$12&lt;TS_Data_Total_Pers,0,Fcast_TA!M18)</f>
        <v>134.611328125</v>
      </c>
      <c r="N18" s="95">
        <f>IF(N$12&lt;TS_Data_Total_Pers,0,Fcast_TA!N18)</f>
        <v>137.97661132812499</v>
      </c>
      <c r="O18" s="95">
        <f>IF(O$12&lt;TS_Data_Total_Pers,0,Fcast_TA!O18)</f>
        <v>141.4260266113281</v>
      </c>
      <c r="P18" s="95">
        <f>IF(P$12&lt;TS_Data_Total_Pers,0,Fcast_TA!P18)</f>
        <v>144.96167727661128</v>
      </c>
      <c r="Q18" s="95">
        <f>IF(Q$12&lt;TS_Data_Total_Pers,0,Fcast_TA!Q18)</f>
        <v>148.58571920852654</v>
      </c>
    </row>
    <row r="19" spans="2:17" s="16" customFormat="1">
      <c r="C19" s="5" t="str">
        <f>Fcast_TA!C19</f>
        <v>Cost of Goods Sold</v>
      </c>
      <c r="J19" s="95">
        <f>IF(J$12&lt;TS_Data_Total_Pers,0,Fcast_TA!J19)</f>
        <v>0</v>
      </c>
      <c r="K19" s="95">
        <f>IF(K$12&lt;TS_Data_Total_Pers,0,Fcast_TA!K19)</f>
        <v>0</v>
      </c>
      <c r="L19" s="95">
        <f>IF(L$12&lt;TS_Data_Total_Pers,0,Fcast_TA!L19)</f>
        <v>0</v>
      </c>
      <c r="M19" s="95">
        <f>IF(M$12&lt;TS_Data_Total_Pers,0,Fcast_TA!M19)</f>
        <v>26.922265624999991</v>
      </c>
      <c r="N19" s="95">
        <f>IF(N$12&lt;TS_Data_Total_Pers,0,Fcast_TA!N19)</f>
        <v>27.59532226562499</v>
      </c>
      <c r="O19" s="95">
        <f>IF(O$12&lt;TS_Data_Total_Pers,0,Fcast_TA!O19)</f>
        <v>28.285205322265611</v>
      </c>
      <c r="P19" s="95">
        <f>IF(P$12&lt;TS_Data_Total_Pers,0,Fcast_TA!P19)</f>
        <v>28.992335455322248</v>
      </c>
      <c r="Q19" s="95">
        <f>IF(Q$12&lt;TS_Data_Total_Pers,0,Fcast_TA!Q19)</f>
        <v>29.717143841705301</v>
      </c>
    </row>
    <row r="20" spans="2:17" s="16" customFormat="1">
      <c r="C20" s="5" t="str">
        <f>Fcast_TA!C20</f>
        <v>Operating Expenditure</v>
      </c>
      <c r="J20" s="95">
        <f>IF(J$12&lt;TS_Data_Total_Pers,0,Fcast_TA!J20)</f>
        <v>0</v>
      </c>
      <c r="K20" s="95">
        <f>IF(K$12&lt;TS_Data_Total_Pers,0,Fcast_TA!K20)</f>
        <v>0</v>
      </c>
      <c r="L20" s="95">
        <f>IF(L$12&lt;TS_Data_Total_Pers,0,Fcast_TA!L20)</f>
        <v>0</v>
      </c>
      <c r="M20" s="95">
        <f>IF(M$12&lt;TS_Data_Total_Pers,0,Fcast_TA!M20)</f>
        <v>43.075624999999995</v>
      </c>
      <c r="N20" s="95">
        <f>IF(N$12&lt;TS_Data_Total_Pers,0,Fcast_TA!N20)</f>
        <v>44.152515624999992</v>
      </c>
      <c r="O20" s="95">
        <f>IF(O$12&lt;TS_Data_Total_Pers,0,Fcast_TA!O20)</f>
        <v>45.256328515624986</v>
      </c>
      <c r="P20" s="95">
        <f>IF(P$12&lt;TS_Data_Total_Pers,0,Fcast_TA!P20)</f>
        <v>46.387736728515605</v>
      </c>
      <c r="Q20" s="95">
        <f>IF(Q$12&lt;TS_Data_Total_Pers,0,Fcast_TA!Q20)</f>
        <v>47.547430146728495</v>
      </c>
    </row>
    <row r="21" spans="2:17" s="16" customFormat="1">
      <c r="C21" s="5" t="str">
        <f>Fcast_TA!C21</f>
        <v>Capital Expenditure - Assets</v>
      </c>
      <c r="J21" s="95">
        <f>IF(J$12&lt;TS_Data_Total_Pers,0,Fcast_TA!J21)</f>
        <v>0</v>
      </c>
      <c r="K21" s="95">
        <f>IF(K$12&lt;TS_Data_Total_Pers,0,Fcast_TA!K21)</f>
        <v>0</v>
      </c>
      <c r="L21" s="95">
        <f>IF(L$12&lt;TS_Data_Total_Pers,0,Fcast_TA!L21)</f>
        <v>0</v>
      </c>
      <c r="M21" s="95">
        <f>IF(M$12&lt;TS_Data_Total_Pers,0,Fcast_TA!M21)</f>
        <v>16.153359374999994</v>
      </c>
      <c r="N21" s="95">
        <f>IF(N$12&lt;TS_Data_Total_Pers,0,Fcast_TA!N21)</f>
        <v>16.557193359374992</v>
      </c>
      <c r="O21" s="95">
        <f>IF(O$12&lt;TS_Data_Total_Pers,0,Fcast_TA!O21)</f>
        <v>16.971123193359364</v>
      </c>
      <c r="P21" s="95">
        <f>IF(P$12&lt;TS_Data_Total_Pers,0,Fcast_TA!P21)</f>
        <v>17.395401273193347</v>
      </c>
      <c r="Q21" s="95">
        <f>IF(Q$12&lt;TS_Data_Total_Pers,0,Fcast_TA!Q21)</f>
        <v>17.830286305023179</v>
      </c>
    </row>
    <row r="22" spans="2:17" s="16" customFormat="1">
      <c r="C22" s="5" t="str">
        <f>Fcast_TA!C22</f>
        <v>Capital Expenditure - Intangibles</v>
      </c>
      <c r="J22" s="95">
        <f>IF(J$12&lt;TS_Data_Total_Pers,0,Fcast_TA!J22)</f>
        <v>0</v>
      </c>
      <c r="K22" s="95">
        <f>IF(K$12&lt;TS_Data_Total_Pers,0,Fcast_TA!K22)</f>
        <v>0</v>
      </c>
      <c r="L22" s="95">
        <f>IF(L$12&lt;TS_Data_Total_Pers,0,Fcast_TA!L22)</f>
        <v>0</v>
      </c>
      <c r="M22" s="95">
        <f>IF(M$12&lt;TS_Data_Total_Pers,0,Fcast_TA!M22)</f>
        <v>2.6922265624999997</v>
      </c>
      <c r="N22" s="95">
        <f>IF(N$12&lt;TS_Data_Total_Pers,0,Fcast_TA!N22)</f>
        <v>2.7595322265624995</v>
      </c>
      <c r="O22" s="95">
        <f>IF(O$12&lt;TS_Data_Total_Pers,0,Fcast_TA!O22)</f>
        <v>2.8285205322265616</v>
      </c>
      <c r="P22" s="95">
        <f>IF(P$12&lt;TS_Data_Total_Pers,0,Fcast_TA!P22)</f>
        <v>2.8992335455322253</v>
      </c>
      <c r="Q22" s="95">
        <f>IF(Q$12&lt;TS_Data_Total_Pers,0,Fcast_TA!Q22)</f>
        <v>2.9717143841705309</v>
      </c>
    </row>
    <row r="23" spans="2:17" s="16" customFormat="1">
      <c r="C23" s="5"/>
      <c r="J23" s="95"/>
      <c r="K23" s="95"/>
      <c r="L23" s="95"/>
      <c r="M23" s="95"/>
      <c r="N23" s="95"/>
      <c r="O23" s="95"/>
      <c r="P23" s="95"/>
      <c r="Q23" s="95"/>
    </row>
    <row r="25" spans="2:17" ht="12.75">
      <c r="B25" s="120" t="s">
        <v>412</v>
      </c>
    </row>
    <row r="26" spans="2:17" s="16" customFormat="1" ht="12.75">
      <c r="B26" s="24"/>
    </row>
    <row r="27" spans="2:17" ht="11.25">
      <c r="C27" s="126" t="str">
        <f>"Accounts Receivable Balances ("&amp;INDEX(LU_Denom,DD_TS_Denom)&amp;")"</f>
        <v>Accounts Receivable Balances ($Millions)</v>
      </c>
      <c r="I27" s="16"/>
    </row>
    <row r="29" spans="2:17">
      <c r="D29" s="108" t="s">
        <v>245</v>
      </c>
      <c r="J29" s="95">
        <f>IF(J$12=0,0,IF(J$12=TS_Data_Full_Pers+1,Fcast_TA!$I$33,I33))</f>
        <v>0</v>
      </c>
      <c r="K29" s="95">
        <f>IF(K$12=0,0,IF(K$12=TS_Data_Full_Pers+1,Fcast_TA!$I$33,J33))</f>
        <v>0</v>
      </c>
      <c r="L29" s="95">
        <f>IF(L$12=0,0,IF(L$12=TS_Data_Full_Pers+1,Fcast_TA!$I$33,K33))</f>
        <v>0</v>
      </c>
      <c r="M29" s="95">
        <f ca="1">IF(M$12=0,0,IF(M$12=TS_Data_Full_Pers+1,Fcast_TA!$I$33,L33))</f>
        <v>10.764600409836065</v>
      </c>
      <c r="N29" s="95">
        <f>IF(N$12=0,0,IF(N$12=TS_Data_Full_Pers+1,Fcast_TA!$I$33,M33))</f>
        <v>11.063944777397261</v>
      </c>
      <c r="O29" s="95">
        <f>IF(O$12=0,0,IF(O$12=TS_Data_Full_Pers+1,Fcast_TA!$I$33,N33))</f>
        <v>11.340543396832192</v>
      </c>
      <c r="P29" s="95">
        <f>IF(P$12=0,0,IF(P$12=TS_Data_Full_Pers+1,Fcast_TA!$I$33,O33))</f>
        <v>11.624056981752995</v>
      </c>
      <c r="Q29" s="95">
        <f>IF(Q$12=0,0,IF(Q$12=TS_Data_Full_Pers+1,Fcast_TA!$I$33,P33))</f>
        <v>11.882104694804204</v>
      </c>
    </row>
    <row r="30" spans="2:17">
      <c r="D30" s="5" t="str">
        <f>C18</f>
        <v>Revenue</v>
      </c>
      <c r="J30" s="95">
        <f t="shared" ref="J30:Q30" si="8">J18</f>
        <v>0</v>
      </c>
      <c r="K30" s="95">
        <f t="shared" si="8"/>
        <v>0</v>
      </c>
      <c r="L30" s="95">
        <f t="shared" si="8"/>
        <v>0</v>
      </c>
      <c r="M30" s="95">
        <f t="shared" si="8"/>
        <v>134.611328125</v>
      </c>
      <c r="N30" s="95">
        <f t="shared" si="8"/>
        <v>137.97661132812499</v>
      </c>
      <c r="O30" s="95">
        <f t="shared" si="8"/>
        <v>141.4260266113281</v>
      </c>
      <c r="P30" s="95">
        <f t="shared" si="8"/>
        <v>144.96167727661128</v>
      </c>
      <c r="Q30" s="95">
        <f t="shared" si="8"/>
        <v>148.58571920852654</v>
      </c>
    </row>
    <row r="31" spans="2:17" s="22" customFormat="1">
      <c r="D31" s="173" t="s">
        <v>238</v>
      </c>
      <c r="J31" s="122">
        <f t="shared" ref="J31:Q31" si="9">J33-SUM(J29:J30)</f>
        <v>0</v>
      </c>
      <c r="K31" s="122">
        <f t="shared" si="9"/>
        <v>0</v>
      </c>
      <c r="L31" s="122">
        <f t="shared" si="9"/>
        <v>0</v>
      </c>
      <c r="M31" s="122">
        <f t="shared" ca="1" si="9"/>
        <v>-134.31198375743881</v>
      </c>
      <c r="N31" s="122">
        <f t="shared" si="9"/>
        <v>-137.70001270869005</v>
      </c>
      <c r="O31" s="122">
        <f t="shared" si="9"/>
        <v>-141.1425130264073</v>
      </c>
      <c r="P31" s="122">
        <f t="shared" si="9"/>
        <v>-144.70362956356007</v>
      </c>
      <c r="Q31" s="122">
        <f t="shared" si="9"/>
        <v>-148.25529903687652</v>
      </c>
    </row>
    <row r="32" spans="2:17" s="16" customFormat="1" hidden="1" outlineLevel="2">
      <c r="D32" s="174" t="s">
        <v>480</v>
      </c>
      <c r="J32" s="127">
        <f t="shared" ref="J32:Q32" si="10">SUM(J30:J31)</f>
        <v>0</v>
      </c>
      <c r="K32" s="127">
        <f t="shared" si="10"/>
        <v>0</v>
      </c>
      <c r="L32" s="127">
        <f t="shared" si="10"/>
        <v>0</v>
      </c>
      <c r="M32" s="127">
        <f t="shared" ca="1" si="10"/>
        <v>0.29934436756118998</v>
      </c>
      <c r="N32" s="127">
        <f t="shared" si="10"/>
        <v>0.27659861943493524</v>
      </c>
      <c r="O32" s="127">
        <f t="shared" si="10"/>
        <v>0.28351358492079726</v>
      </c>
      <c r="P32" s="127">
        <f t="shared" si="10"/>
        <v>0.25804771305121221</v>
      </c>
      <c r="Q32" s="127">
        <f t="shared" si="10"/>
        <v>0.3304201716500188</v>
      </c>
    </row>
    <row r="33" spans="3:17" collapsed="1">
      <c r="D33" s="109" t="s">
        <v>410</v>
      </c>
      <c r="J33" s="128">
        <f t="shared" ref="J33:Q33" si="11">J30*J36/(J$9-J$8+1)</f>
        <v>0</v>
      </c>
      <c r="K33" s="128">
        <f t="shared" si="11"/>
        <v>0</v>
      </c>
      <c r="L33" s="128">
        <f t="shared" si="11"/>
        <v>0</v>
      </c>
      <c r="M33" s="128">
        <f t="shared" si="11"/>
        <v>11.063944777397261</v>
      </c>
      <c r="N33" s="128">
        <f t="shared" si="11"/>
        <v>11.340543396832192</v>
      </c>
      <c r="O33" s="128">
        <f t="shared" si="11"/>
        <v>11.624056981752995</v>
      </c>
      <c r="P33" s="128">
        <f t="shared" si="11"/>
        <v>11.882104694804204</v>
      </c>
      <c r="Q33" s="128">
        <f t="shared" si="11"/>
        <v>12.212524866454237</v>
      </c>
    </row>
    <row r="35" spans="3:17">
      <c r="D35" s="118" t="str">
        <f>"Closing Balance Periodic Growth (% per "&amp;INDEX(LU_Period_Type_Names,MATCH(TS_Periodicity,LU_Periodicity,0))&amp;")"</f>
        <v>Closing Balance Periodic Growth (% per Year)</v>
      </c>
      <c r="K35" s="234">
        <f>IF(K$12=0,0,IF(ISERROR(K33/J33),"N/A",ROUND(K33/J33-1,5)))</f>
        <v>0</v>
      </c>
      <c r="L35" s="234">
        <f t="shared" ref="L35:Q35" si="12">IF(L$12=0,0,IF(ISERROR(L33/K33),"N/A",ROUND(L33/K33-1,5)))</f>
        <v>0</v>
      </c>
      <c r="M35" s="234" t="str">
        <f t="shared" si="12"/>
        <v>N/A</v>
      </c>
      <c r="N35" s="234">
        <f t="shared" si="12"/>
        <v>2.5000000000000001E-2</v>
      </c>
      <c r="O35" s="234">
        <f t="shared" si="12"/>
        <v>2.5000000000000001E-2</v>
      </c>
      <c r="P35" s="234">
        <f t="shared" si="12"/>
        <v>2.2200000000000001E-2</v>
      </c>
      <c r="Q35" s="234">
        <f t="shared" si="12"/>
        <v>2.7810000000000001E-2</v>
      </c>
    </row>
    <row r="36" spans="3:17">
      <c r="D36" s="174" t="s">
        <v>408</v>
      </c>
      <c r="J36" s="116">
        <f>IF(J$12=0,0,Fcast_TA!J34)</f>
        <v>0</v>
      </c>
      <c r="K36" s="116">
        <f>IF(K$12=0,0,Fcast_TA!K34)</f>
        <v>0</v>
      </c>
      <c r="L36" s="116">
        <f>IF(L$12=0,0,Fcast_TA!L34)</f>
        <v>0</v>
      </c>
      <c r="M36" s="116">
        <f>IF(M$12=0,0,Fcast_TA!M34)</f>
        <v>30</v>
      </c>
      <c r="N36" s="116">
        <f>IF(N$12=0,0,Fcast_TA!N34)</f>
        <v>30</v>
      </c>
      <c r="O36" s="116">
        <f>IF(O$12=0,0,Fcast_TA!O34)</f>
        <v>30</v>
      </c>
      <c r="P36" s="116">
        <f>IF(P$12=0,0,Fcast_TA!P34)</f>
        <v>30</v>
      </c>
      <c r="Q36" s="116">
        <f>IF(Q$12=0,0,Fcast_TA!Q34)</f>
        <v>30</v>
      </c>
    </row>
    <row r="38" spans="3:17" hidden="1" outlineLevel="2">
      <c r="E38" s="108" t="s">
        <v>239</v>
      </c>
      <c r="J38" s="96">
        <f t="shared" ref="J38:Q38" si="13">IF(ISERROR(J29+J32-J33),1,0)</f>
        <v>0</v>
      </c>
      <c r="K38" s="96">
        <f t="shared" si="13"/>
        <v>0</v>
      </c>
      <c r="L38" s="96">
        <f t="shared" si="13"/>
        <v>0</v>
      </c>
      <c r="M38" s="96">
        <f t="shared" ca="1" si="13"/>
        <v>0</v>
      </c>
      <c r="N38" s="96">
        <f t="shared" si="13"/>
        <v>0</v>
      </c>
      <c r="O38" s="96">
        <f t="shared" si="13"/>
        <v>0</v>
      </c>
      <c r="P38" s="96">
        <f t="shared" si="13"/>
        <v>0</v>
      </c>
      <c r="Q38" s="96">
        <f t="shared" si="13"/>
        <v>0</v>
      </c>
    </row>
    <row r="39" spans="3:17" hidden="1" outlineLevel="2">
      <c r="E39" s="108" t="s">
        <v>240</v>
      </c>
      <c r="J39" s="102">
        <f t="shared" ref="J39:Q39" si="14">IF(J38&lt;&gt;0,0,(ROUND(J29+J32-J33,5)&lt;&gt;0)*1)</f>
        <v>0</v>
      </c>
      <c r="K39" s="102">
        <f t="shared" si="14"/>
        <v>0</v>
      </c>
      <c r="L39" s="102">
        <f t="shared" si="14"/>
        <v>0</v>
      </c>
      <c r="M39" s="102">
        <f t="shared" ca="1" si="14"/>
        <v>0</v>
      </c>
      <c r="N39" s="102">
        <f t="shared" si="14"/>
        <v>0</v>
      </c>
      <c r="O39" s="102">
        <f t="shared" si="14"/>
        <v>0</v>
      </c>
      <c r="P39" s="102">
        <f t="shared" si="14"/>
        <v>0</v>
      </c>
      <c r="Q39" s="102">
        <f t="shared" si="14"/>
        <v>0</v>
      </c>
    </row>
    <row r="40" spans="3:17" hidden="1" outlineLevel="2">
      <c r="E40" s="108" t="s">
        <v>241</v>
      </c>
      <c r="J40" s="102">
        <f t="shared" ref="J40:Q40" si="15">IF(ISERROR(J31),0,(ROUND(MAX(J31),5)&gt;0)*1)</f>
        <v>0</v>
      </c>
      <c r="K40" s="102">
        <f t="shared" si="15"/>
        <v>0</v>
      </c>
      <c r="L40" s="102">
        <f t="shared" si="15"/>
        <v>0</v>
      </c>
      <c r="M40" s="102">
        <f t="shared" ca="1" si="15"/>
        <v>0</v>
      </c>
      <c r="N40" s="102">
        <f t="shared" si="15"/>
        <v>0</v>
      </c>
      <c r="O40" s="102">
        <f t="shared" si="15"/>
        <v>0</v>
      </c>
      <c r="P40" s="102">
        <f t="shared" si="15"/>
        <v>0</v>
      </c>
      <c r="Q40" s="102">
        <f t="shared" si="15"/>
        <v>0</v>
      </c>
    </row>
    <row r="41" spans="3:17" hidden="1" outlineLevel="2">
      <c r="E41" s="108" t="s">
        <v>242</v>
      </c>
      <c r="J41" s="125">
        <f t="shared" ref="J41:Q41" si="16">IF(ISERROR(J33),0,(ROUND(MIN(J33),5)&lt;0)*1)</f>
        <v>0</v>
      </c>
      <c r="K41" s="125">
        <f t="shared" si="16"/>
        <v>0</v>
      </c>
      <c r="L41" s="125">
        <f t="shared" si="16"/>
        <v>0</v>
      </c>
      <c r="M41" s="125">
        <f t="shared" si="16"/>
        <v>0</v>
      </c>
      <c r="N41" s="125">
        <f t="shared" si="16"/>
        <v>0</v>
      </c>
      <c r="O41" s="125">
        <f t="shared" si="16"/>
        <v>0</v>
      </c>
      <c r="P41" s="125">
        <f t="shared" si="16"/>
        <v>0</v>
      </c>
      <c r="Q41" s="125">
        <f t="shared" si="16"/>
        <v>0</v>
      </c>
    </row>
    <row r="42" spans="3:17" collapsed="1">
      <c r="D42" s="108" t="s">
        <v>411</v>
      </c>
      <c r="I42" s="99">
        <f ca="1">IF(ISERROR(SUM(J42:Q42)),0,MIN(SUM(J42:Q42),1))</f>
        <v>0</v>
      </c>
      <c r="J42" s="96">
        <f t="shared" ref="J42:Q42" si="17">MIN(SUM(J38:J41),1)</f>
        <v>0</v>
      </c>
      <c r="K42" s="96">
        <f t="shared" si="17"/>
        <v>0</v>
      </c>
      <c r="L42" s="96">
        <f t="shared" si="17"/>
        <v>0</v>
      </c>
      <c r="M42" s="96">
        <f t="shared" ca="1" si="17"/>
        <v>0</v>
      </c>
      <c r="N42" s="96">
        <f t="shared" si="17"/>
        <v>0</v>
      </c>
      <c r="O42" s="96">
        <f t="shared" si="17"/>
        <v>0</v>
      </c>
      <c r="P42" s="96">
        <f t="shared" si="17"/>
        <v>0</v>
      </c>
      <c r="Q42" s="96">
        <f t="shared" si="17"/>
        <v>0</v>
      </c>
    </row>
    <row r="44" spans="3:17" s="16" customFormat="1" ht="11.25">
      <c r="C44" s="126" t="str">
        <f>"Accounts Payable Balances ("&amp;INDEX(LU_Denom,DD_TS_Denom)&amp;")"</f>
        <v>Accounts Payable Balances ($Millions)</v>
      </c>
    </row>
    <row r="45" spans="3:17" s="16" customFormat="1" ht="11.25">
      <c r="C45" s="126"/>
    </row>
    <row r="46" spans="3:17">
      <c r="D46" s="108" t="s">
        <v>245</v>
      </c>
      <c r="J46" s="95">
        <f>IF(J$12=0,0,IF(J$12=TS_Data_Full_Pers+1,Fcast_TA!$I$38,I50))</f>
        <v>0</v>
      </c>
      <c r="K46" s="95">
        <f>IF(K$12=0,0,IF(K$12=TS_Data_Full_Pers+1,Fcast_TA!$I$38,J50))</f>
        <v>0</v>
      </c>
      <c r="L46" s="95">
        <f>IF(L$12=0,0,IF(L$12=TS_Data_Full_Pers+1,Fcast_TA!$I$38,K50))</f>
        <v>0</v>
      </c>
      <c r="M46" s="95">
        <f ca="1">IF(M$12=0,0,IF(M$12=TS_Data_Full_Pers+1,Fcast_TA!$I$38,L50))</f>
        <v>8.3963883196721305</v>
      </c>
      <c r="N46" s="95">
        <f>IF(N$12=0,0,IF(N$12=TS_Data_Full_Pers+1,Fcast_TA!$I$38,M50))</f>
        <v>8.629876926369862</v>
      </c>
      <c r="O46" s="95">
        <f>IF(O$12=0,0,IF(O$12=TS_Data_Full_Pers+1,Fcast_TA!$I$38,N50))</f>
        <v>8.8456238495291082</v>
      </c>
      <c r="P46" s="95">
        <f>IF(P$12=0,0,IF(P$12=TS_Data_Full_Pers+1,Fcast_TA!$I$38,O50))</f>
        <v>9.0667644457673351</v>
      </c>
      <c r="Q46" s="95">
        <f>IF(Q$12=0,0,IF(Q$12=TS_Data_Full_Pers+1,Fcast_TA!$I$38,P50))</f>
        <v>9.2680416619472759</v>
      </c>
    </row>
    <row r="47" spans="3:17">
      <c r="D47" s="168" t="s">
        <v>466</v>
      </c>
      <c r="J47" s="95">
        <f t="shared" ref="J47:Q47" si="18">SUM(J19:J20)</f>
        <v>0</v>
      </c>
      <c r="K47" s="95">
        <f t="shared" si="18"/>
        <v>0</v>
      </c>
      <c r="L47" s="95">
        <f t="shared" si="18"/>
        <v>0</v>
      </c>
      <c r="M47" s="95">
        <f t="shared" si="18"/>
        <v>69.997890624999982</v>
      </c>
      <c r="N47" s="95">
        <f t="shared" si="18"/>
        <v>71.747837890624979</v>
      </c>
      <c r="O47" s="95">
        <f t="shared" si="18"/>
        <v>73.541533837890597</v>
      </c>
      <c r="P47" s="95">
        <f t="shared" si="18"/>
        <v>75.380072183837854</v>
      </c>
      <c r="Q47" s="95">
        <f t="shared" si="18"/>
        <v>77.264573988433796</v>
      </c>
    </row>
    <row r="48" spans="3:17" s="22" customFormat="1">
      <c r="D48" s="173" t="s">
        <v>243</v>
      </c>
      <c r="J48" s="122">
        <f t="shared" ref="J48:Q48" si="19">J50-SUM(J46:J47)</f>
        <v>0</v>
      </c>
      <c r="K48" s="122">
        <f t="shared" si="19"/>
        <v>0</v>
      </c>
      <c r="L48" s="122">
        <f t="shared" si="19"/>
        <v>0</v>
      </c>
      <c r="M48" s="122">
        <f t="shared" ca="1" si="19"/>
        <v>-69.764402018302249</v>
      </c>
      <c r="N48" s="122">
        <f t="shared" si="19"/>
        <v>-71.532090967465734</v>
      </c>
      <c r="O48" s="122">
        <f t="shared" si="19"/>
        <v>-73.320393241652368</v>
      </c>
      <c r="P48" s="122">
        <f t="shared" si="19"/>
        <v>-75.178794967657907</v>
      </c>
      <c r="Q48" s="122">
        <f t="shared" si="19"/>
        <v>-77.006846254546772</v>
      </c>
    </row>
    <row r="49" spans="2:17" s="16" customFormat="1" hidden="1" outlineLevel="2">
      <c r="D49" s="174" t="s">
        <v>481</v>
      </c>
      <c r="J49" s="127">
        <f t="shared" ref="J49:Q49" si="20">SUM(J47:J48)</f>
        <v>0</v>
      </c>
      <c r="K49" s="127">
        <f t="shared" si="20"/>
        <v>0</v>
      </c>
      <c r="L49" s="127">
        <f t="shared" si="20"/>
        <v>0</v>
      </c>
      <c r="M49" s="127">
        <f t="shared" ca="1" si="20"/>
        <v>0.2334886066977333</v>
      </c>
      <c r="N49" s="127">
        <f t="shared" si="20"/>
        <v>0.21574692315924437</v>
      </c>
      <c r="O49" s="127">
        <f t="shared" si="20"/>
        <v>0.22114059623822868</v>
      </c>
      <c r="P49" s="127">
        <f t="shared" si="20"/>
        <v>0.20127721617994609</v>
      </c>
      <c r="Q49" s="127">
        <f t="shared" si="20"/>
        <v>0.25772773388702319</v>
      </c>
    </row>
    <row r="50" spans="2:17" collapsed="1">
      <c r="D50" s="109" t="s">
        <v>410</v>
      </c>
      <c r="J50" s="128">
        <f t="shared" ref="J50:Q50" si="21">J47*J53/(J$9-J$8+1)</f>
        <v>0</v>
      </c>
      <c r="K50" s="128">
        <f t="shared" si="21"/>
        <v>0</v>
      </c>
      <c r="L50" s="128">
        <f t="shared" si="21"/>
        <v>0</v>
      </c>
      <c r="M50" s="128">
        <f t="shared" si="21"/>
        <v>8.629876926369862</v>
      </c>
      <c r="N50" s="128">
        <f t="shared" si="21"/>
        <v>8.8456238495291082</v>
      </c>
      <c r="O50" s="128">
        <f t="shared" si="21"/>
        <v>9.0667644457673351</v>
      </c>
      <c r="P50" s="128">
        <f t="shared" si="21"/>
        <v>9.2680416619472759</v>
      </c>
      <c r="Q50" s="128">
        <f t="shared" si="21"/>
        <v>9.5257693958343044</v>
      </c>
    </row>
    <row r="52" spans="2:17">
      <c r="D52" s="118" t="str">
        <f>"Closing Balance Periodic Growth (% per "&amp;INDEX(LU_Period_Type_Names,MATCH(TS_Periodicity,LU_Periodicity,0))&amp;")"</f>
        <v>Closing Balance Periodic Growth (% per Year)</v>
      </c>
      <c r="K52" s="234">
        <f>IF(K$12=0,0,IF(ISERROR(K50/J50),"N/A",ROUND(K50/J50-1,5)))</f>
        <v>0</v>
      </c>
      <c r="L52" s="234">
        <f t="shared" ref="L52:Q52" si="22">IF(L$12=0,0,IF(ISERROR(L50/K50),"N/A",ROUND(L50/K50-1,5)))</f>
        <v>0</v>
      </c>
      <c r="M52" s="234" t="str">
        <f t="shared" si="22"/>
        <v>N/A</v>
      </c>
      <c r="N52" s="234">
        <f t="shared" si="22"/>
        <v>2.5000000000000001E-2</v>
      </c>
      <c r="O52" s="234">
        <f t="shared" si="22"/>
        <v>2.5000000000000001E-2</v>
      </c>
      <c r="P52" s="234">
        <f t="shared" si="22"/>
        <v>2.2200000000000001E-2</v>
      </c>
      <c r="Q52" s="234">
        <f t="shared" si="22"/>
        <v>2.7810000000000001E-2</v>
      </c>
    </row>
    <row r="53" spans="2:17">
      <c r="D53" s="174" t="s">
        <v>409</v>
      </c>
      <c r="J53" s="116">
        <f>IF(J$12=0,0,Fcast_TA!J39)</f>
        <v>0</v>
      </c>
      <c r="K53" s="116">
        <f>IF(K$12=0,0,Fcast_TA!K39)</f>
        <v>0</v>
      </c>
      <c r="L53" s="116">
        <f>IF(L$12=0,0,Fcast_TA!L39)</f>
        <v>0</v>
      </c>
      <c r="M53" s="116">
        <f>IF(M$12=0,0,Fcast_TA!M39)</f>
        <v>45</v>
      </c>
      <c r="N53" s="116">
        <f>IF(N$12=0,0,Fcast_TA!N39)</f>
        <v>45</v>
      </c>
      <c r="O53" s="116">
        <f>IF(O$12=0,0,Fcast_TA!O39)</f>
        <v>45</v>
      </c>
      <c r="P53" s="116">
        <f>IF(P$12=0,0,Fcast_TA!P39)</f>
        <v>45</v>
      </c>
      <c r="Q53" s="116">
        <f>IF(Q$12=0,0,Fcast_TA!Q39)</f>
        <v>45</v>
      </c>
    </row>
    <row r="55" spans="2:17" hidden="1" outlineLevel="2">
      <c r="E55" s="108" t="s">
        <v>239</v>
      </c>
      <c r="J55" s="96">
        <f t="shared" ref="J55:Q55" si="23">IF(ISERROR(J46+J49-J50),1,0)</f>
        <v>0</v>
      </c>
      <c r="K55" s="96">
        <f t="shared" si="23"/>
        <v>0</v>
      </c>
      <c r="L55" s="96">
        <f t="shared" si="23"/>
        <v>0</v>
      </c>
      <c r="M55" s="96">
        <f t="shared" ca="1" si="23"/>
        <v>0</v>
      </c>
      <c r="N55" s="96">
        <f t="shared" si="23"/>
        <v>0</v>
      </c>
      <c r="O55" s="96">
        <f t="shared" si="23"/>
        <v>0</v>
      </c>
      <c r="P55" s="96">
        <f t="shared" si="23"/>
        <v>0</v>
      </c>
      <c r="Q55" s="96">
        <f t="shared" si="23"/>
        <v>0</v>
      </c>
    </row>
    <row r="56" spans="2:17" hidden="1" outlineLevel="2">
      <c r="E56" s="108" t="s">
        <v>240</v>
      </c>
      <c r="J56" s="102">
        <f t="shared" ref="J56:Q56" si="24">IF(J55&lt;&gt;0,0,(ROUND(J46+J49-J50,5)&lt;&gt;0)*1)</f>
        <v>0</v>
      </c>
      <c r="K56" s="102">
        <f t="shared" si="24"/>
        <v>0</v>
      </c>
      <c r="L56" s="102">
        <f t="shared" si="24"/>
        <v>0</v>
      </c>
      <c r="M56" s="102">
        <f t="shared" ca="1" si="24"/>
        <v>0</v>
      </c>
      <c r="N56" s="102">
        <f t="shared" si="24"/>
        <v>0</v>
      </c>
      <c r="O56" s="102">
        <f t="shared" si="24"/>
        <v>0</v>
      </c>
      <c r="P56" s="102">
        <f t="shared" si="24"/>
        <v>0</v>
      </c>
      <c r="Q56" s="102">
        <f t="shared" si="24"/>
        <v>0</v>
      </c>
    </row>
    <row r="57" spans="2:17" hidden="1" outlineLevel="2">
      <c r="E57" s="108" t="s">
        <v>244</v>
      </c>
      <c r="J57" s="102">
        <f t="shared" ref="J57:Q57" si="25">IF(ISERROR(J48),0,(ROUND(MAX(J48),5)&gt;0)*1)</f>
        <v>0</v>
      </c>
      <c r="K57" s="102">
        <f t="shared" si="25"/>
        <v>0</v>
      </c>
      <c r="L57" s="102">
        <f t="shared" si="25"/>
        <v>0</v>
      </c>
      <c r="M57" s="102">
        <f t="shared" ca="1" si="25"/>
        <v>0</v>
      </c>
      <c r="N57" s="102">
        <f t="shared" si="25"/>
        <v>0</v>
      </c>
      <c r="O57" s="102">
        <f t="shared" si="25"/>
        <v>0</v>
      </c>
      <c r="P57" s="102">
        <f t="shared" si="25"/>
        <v>0</v>
      </c>
      <c r="Q57" s="102">
        <f t="shared" si="25"/>
        <v>0</v>
      </c>
    </row>
    <row r="58" spans="2:17" hidden="1" outlineLevel="2">
      <c r="E58" s="108" t="s">
        <v>242</v>
      </c>
      <c r="J58" s="125">
        <f t="shared" ref="J58:Q58" si="26">IF(ISERROR(J50),0,(ROUND(MIN(J50),5)&lt;0)*1)</f>
        <v>0</v>
      </c>
      <c r="K58" s="125">
        <f t="shared" si="26"/>
        <v>0</v>
      </c>
      <c r="L58" s="125">
        <f t="shared" si="26"/>
        <v>0</v>
      </c>
      <c r="M58" s="125">
        <f t="shared" si="26"/>
        <v>0</v>
      </c>
      <c r="N58" s="125">
        <f t="shared" si="26"/>
        <v>0</v>
      </c>
      <c r="O58" s="125">
        <f t="shared" si="26"/>
        <v>0</v>
      </c>
      <c r="P58" s="125">
        <f t="shared" si="26"/>
        <v>0</v>
      </c>
      <c r="Q58" s="125">
        <f t="shared" si="26"/>
        <v>0</v>
      </c>
    </row>
    <row r="59" spans="2:17" collapsed="1">
      <c r="D59" s="108" t="s">
        <v>411</v>
      </c>
      <c r="I59" s="99">
        <f ca="1">IF(ISERROR(SUM(J59:Q59)),0,MIN(SUM(J59:Q59),1))</f>
        <v>0</v>
      </c>
      <c r="J59" s="96">
        <f t="shared" ref="J59:Q59" si="27">MIN(SUM(J55:J58),1)</f>
        <v>0</v>
      </c>
      <c r="K59" s="96">
        <f t="shared" si="27"/>
        <v>0</v>
      </c>
      <c r="L59" s="96">
        <f t="shared" si="27"/>
        <v>0</v>
      </c>
      <c r="M59" s="96">
        <f t="shared" ca="1" si="27"/>
        <v>0</v>
      </c>
      <c r="N59" s="96">
        <f t="shared" si="27"/>
        <v>0</v>
      </c>
      <c r="O59" s="96">
        <f t="shared" si="27"/>
        <v>0</v>
      </c>
      <c r="P59" s="96">
        <f t="shared" si="27"/>
        <v>0</v>
      </c>
      <c r="Q59" s="96">
        <f t="shared" si="27"/>
        <v>0</v>
      </c>
    </row>
    <row r="62" spans="2:17" ht="12.75">
      <c r="B62" s="120" t="s">
        <v>399</v>
      </c>
    </row>
    <row r="64" spans="2:17" s="16" customFormat="1" ht="11.25">
      <c r="C64" s="126" t="str">
        <f>"Assets Balances ("&amp;INDEX(LU_Denom,DD_TS_Denom)&amp;")"</f>
        <v>Assets Balances ($Millions)</v>
      </c>
    </row>
    <row r="65" spans="3:17" s="16" customFormat="1"/>
    <row r="66" spans="3:17" s="16" customFormat="1">
      <c r="D66" s="168" t="s">
        <v>245</v>
      </c>
      <c r="J66" s="95">
        <f>IF(J$12=0,0,IF(J$12=TS_Data_Full_Pers+1,Fcast_TA!$I$49,I70))</f>
        <v>0</v>
      </c>
      <c r="K66" s="95">
        <f>IF(K$12=0,0,IF(K$12=TS_Data_Full_Pers+1,Fcast_TA!$I$49,J70))</f>
        <v>0</v>
      </c>
      <c r="L66" s="95">
        <f>IF(L$12=0,0,IF(L$12=TS_Data_Full_Pers+1,Fcast_TA!$I$49,K70))</f>
        <v>0</v>
      </c>
      <c r="M66" s="95">
        <f ca="1">IF(M$12=0,0,IF(M$12=TS_Data_Full_Pers+1,Fcast_TA!$I$49,L70))</f>
        <v>149.6134375</v>
      </c>
      <c r="N66" s="95">
        <f ca="1">IF(N$12=0,0,IF(N$12=TS_Data_Full_Pers+1,Fcast_TA!$I$49,M70))</f>
        <v>151.22877343750002</v>
      </c>
      <c r="O66" s="95">
        <f ca="1">IF(O$12=0,0,IF(O$12=TS_Data_Full_Pers+1,Fcast_TA!$I$49,N70))</f>
        <v>152.88449277343753</v>
      </c>
      <c r="P66" s="95">
        <f ca="1">IF(P$12=0,0,IF(P$12=TS_Data_Full_Pers+1,Fcast_TA!$I$49,O70))</f>
        <v>154.58160509277349</v>
      </c>
      <c r="Q66" s="95">
        <f ca="1">IF(Q$12=0,0,IF(Q$12=TS_Data_Full_Pers+1,Fcast_TA!$I$49,P70))</f>
        <v>156.32114522009283</v>
      </c>
    </row>
    <row r="67" spans="3:17" s="16" customFormat="1">
      <c r="D67" s="5" t="str">
        <f>C21</f>
        <v>Capital Expenditure - Assets</v>
      </c>
      <c r="J67" s="95">
        <f t="shared" ref="J67:Q67" si="28">J21</f>
        <v>0</v>
      </c>
      <c r="K67" s="95">
        <f t="shared" si="28"/>
        <v>0</v>
      </c>
      <c r="L67" s="95">
        <f t="shared" si="28"/>
        <v>0</v>
      </c>
      <c r="M67" s="95">
        <f t="shared" si="28"/>
        <v>16.153359374999994</v>
      </c>
      <c r="N67" s="95">
        <f t="shared" si="28"/>
        <v>16.557193359374992</v>
      </c>
      <c r="O67" s="95">
        <f t="shared" si="28"/>
        <v>16.971123193359364</v>
      </c>
      <c r="P67" s="95">
        <f t="shared" si="28"/>
        <v>17.395401273193347</v>
      </c>
      <c r="Q67" s="95">
        <f t="shared" si="28"/>
        <v>17.830286305023179</v>
      </c>
    </row>
    <row r="68" spans="3:17" s="16" customFormat="1" hidden="1" outlineLevel="2">
      <c r="D68" s="168" t="s">
        <v>469</v>
      </c>
      <c r="J68" s="119">
        <f>IF(J$12=0,0,Fcast_TA!J50)</f>
        <v>0</v>
      </c>
      <c r="K68" s="119">
        <f>IF(K$12=0,0,Fcast_TA!K50)</f>
        <v>0</v>
      </c>
      <c r="L68" s="119">
        <f>IF(L$12=0,0,Fcast_TA!L50)</f>
        <v>0</v>
      </c>
      <c r="M68" s="119">
        <f>IF(M$12=0,0,Fcast_TA!M50)</f>
        <v>0.9</v>
      </c>
      <c r="N68" s="119">
        <f>IF(N$12=0,0,Fcast_TA!N50)</f>
        <v>0.9</v>
      </c>
      <c r="O68" s="119">
        <f>IF(O$12=0,0,Fcast_TA!O50)</f>
        <v>0.9</v>
      </c>
      <c r="P68" s="119">
        <f>IF(P$12=0,0,Fcast_TA!P50)</f>
        <v>0.9</v>
      </c>
      <c r="Q68" s="119">
        <f>IF(Q$12=0,0,Fcast_TA!Q50)</f>
        <v>0.9</v>
      </c>
    </row>
    <row r="69" spans="3:17" s="22" customFormat="1" collapsed="1">
      <c r="D69" s="173" t="s">
        <v>414</v>
      </c>
      <c r="J69" s="122">
        <f t="shared" ref="J69:Q69" si="29">-J67*J68</f>
        <v>0</v>
      </c>
      <c r="K69" s="122">
        <f t="shared" si="29"/>
        <v>0</v>
      </c>
      <c r="L69" s="122">
        <f t="shared" si="29"/>
        <v>0</v>
      </c>
      <c r="M69" s="122">
        <f t="shared" si="29"/>
        <v>-14.538023437499994</v>
      </c>
      <c r="N69" s="122">
        <f t="shared" si="29"/>
        <v>-14.901474023437492</v>
      </c>
      <c r="O69" s="122">
        <f t="shared" si="29"/>
        <v>-15.274010874023428</v>
      </c>
      <c r="P69" s="122">
        <f t="shared" si="29"/>
        <v>-15.655861145874013</v>
      </c>
      <c r="Q69" s="122">
        <f t="shared" si="29"/>
        <v>-16.047257674520861</v>
      </c>
    </row>
    <row r="70" spans="3:17" s="16" customFormat="1">
      <c r="D70" s="169" t="s">
        <v>410</v>
      </c>
      <c r="J70" s="128">
        <f t="shared" ref="J70:Q70" si="30">J66+J67+J69</f>
        <v>0</v>
      </c>
      <c r="K70" s="128">
        <f t="shared" si="30"/>
        <v>0</v>
      </c>
      <c r="L70" s="128">
        <f t="shared" si="30"/>
        <v>0</v>
      </c>
      <c r="M70" s="128">
        <f t="shared" ca="1" si="30"/>
        <v>151.22877343750002</v>
      </c>
      <c r="N70" s="128">
        <f t="shared" ca="1" si="30"/>
        <v>152.88449277343753</v>
      </c>
      <c r="O70" s="128">
        <f t="shared" ca="1" si="30"/>
        <v>154.58160509277349</v>
      </c>
      <c r="P70" s="128">
        <f t="shared" ca="1" si="30"/>
        <v>156.32114522009283</v>
      </c>
      <c r="Q70" s="128">
        <f t="shared" ca="1" si="30"/>
        <v>158.10417385059515</v>
      </c>
    </row>
    <row r="71" spans="3:17" s="16" customFormat="1"/>
    <row r="72" spans="3:17" s="16" customFormat="1" hidden="1" outlineLevel="2">
      <c r="E72" s="168" t="s">
        <v>239</v>
      </c>
      <c r="J72" s="96">
        <f t="shared" ref="J72:Q72" si="31">IF(ISERROR(J70-(J66+J67+J69)),1,0)</f>
        <v>0</v>
      </c>
      <c r="K72" s="96">
        <f t="shared" si="31"/>
        <v>0</v>
      </c>
      <c r="L72" s="96">
        <f t="shared" si="31"/>
        <v>0</v>
      </c>
      <c r="M72" s="96">
        <f t="shared" ca="1" si="31"/>
        <v>0</v>
      </c>
      <c r="N72" s="96">
        <f t="shared" ca="1" si="31"/>
        <v>0</v>
      </c>
      <c r="O72" s="96">
        <f t="shared" ca="1" si="31"/>
        <v>0</v>
      </c>
      <c r="P72" s="96">
        <f t="shared" ca="1" si="31"/>
        <v>0</v>
      </c>
      <c r="Q72" s="96">
        <f t="shared" ca="1" si="31"/>
        <v>0</v>
      </c>
    </row>
    <row r="73" spans="3:17" s="16" customFormat="1" hidden="1" outlineLevel="2">
      <c r="E73" s="168" t="s">
        <v>240</v>
      </c>
      <c r="J73" s="125">
        <f t="shared" ref="J73:Q73" si="32">IF(J72&lt;&gt;0,0,(ROUND(J70-(J66+J67+J69),5)&lt;&gt;0)*1)</f>
        <v>0</v>
      </c>
      <c r="K73" s="125">
        <f t="shared" si="32"/>
        <v>0</v>
      </c>
      <c r="L73" s="125">
        <f t="shared" si="32"/>
        <v>0</v>
      </c>
      <c r="M73" s="125">
        <f t="shared" ca="1" si="32"/>
        <v>0</v>
      </c>
      <c r="N73" s="125">
        <f t="shared" ca="1" si="32"/>
        <v>0</v>
      </c>
      <c r="O73" s="125">
        <f t="shared" ca="1" si="32"/>
        <v>0</v>
      </c>
      <c r="P73" s="125">
        <f t="shared" ca="1" si="32"/>
        <v>0</v>
      </c>
      <c r="Q73" s="125">
        <f t="shared" ca="1" si="32"/>
        <v>0</v>
      </c>
    </row>
    <row r="74" spans="3:17" s="16" customFormat="1" collapsed="1">
      <c r="D74" s="168" t="s">
        <v>411</v>
      </c>
      <c r="I74" s="99">
        <f ca="1">IF(ISERROR(SUM(J74:Q74)),0,MIN(SUM(J74:Q74),1))</f>
        <v>0</v>
      </c>
      <c r="J74" s="96">
        <f t="shared" ref="J74:Q74" si="33">MIN(SUM(J72:J73),1)</f>
        <v>0</v>
      </c>
      <c r="K74" s="96">
        <f t="shared" si="33"/>
        <v>0</v>
      </c>
      <c r="L74" s="96">
        <f t="shared" si="33"/>
        <v>0</v>
      </c>
      <c r="M74" s="96">
        <f t="shared" ca="1" si="33"/>
        <v>0</v>
      </c>
      <c r="N74" s="96">
        <f t="shared" ca="1" si="33"/>
        <v>0</v>
      </c>
      <c r="O74" s="96">
        <f t="shared" ca="1" si="33"/>
        <v>0</v>
      </c>
      <c r="P74" s="96">
        <f t="shared" ca="1" si="33"/>
        <v>0</v>
      </c>
      <c r="Q74" s="96">
        <f t="shared" ca="1" si="33"/>
        <v>0</v>
      </c>
    </row>
    <row r="75" spans="3:17" s="16" customFormat="1"/>
    <row r="76" spans="3:17" s="16" customFormat="1" ht="11.25">
      <c r="C76" s="126" t="str">
        <f>"Intangibles Balances ("&amp;INDEX(LU_Denom,DD_TS_Denom)&amp;")"</f>
        <v>Intangibles Balances ($Millions)</v>
      </c>
    </row>
    <row r="77" spans="3:17" s="16" customFormat="1"/>
    <row r="78" spans="3:17" s="16" customFormat="1">
      <c r="D78" s="168" t="s">
        <v>245</v>
      </c>
      <c r="J78" s="95">
        <f>IF(J$12=0,0,IF(J$12=TS_Data_Full_Pers+1,Fcast_TA!$I$54,I82))</f>
        <v>0</v>
      </c>
      <c r="K78" s="95">
        <f>IF(K$12=0,0,IF(K$12=TS_Data_Full_Pers+1,Fcast_TA!$I$54,J82))</f>
        <v>0</v>
      </c>
      <c r="L78" s="95">
        <f>IF(L$12=0,0,IF(L$12=TS_Data_Full_Pers+1,Fcast_TA!$I$54,K82))</f>
        <v>0</v>
      </c>
      <c r="M78" s="95">
        <f ca="1">IF(M$12=0,0,IF(M$12=TS_Data_Full_Pers+1,Fcast_TA!$I$54,L82))</f>
        <v>17.266796874999997</v>
      </c>
      <c r="N78" s="95">
        <f ca="1">IF(N$12=0,0,IF(N$12=TS_Data_Full_Pers+1,Fcast_TA!$I$54,M82))</f>
        <v>19.285966796874998</v>
      </c>
      <c r="O78" s="95">
        <f ca="1">IF(O$12=0,0,IF(O$12=TS_Data_Full_Pers+1,Fcast_TA!$I$54,N82))</f>
        <v>21.355615966796872</v>
      </c>
      <c r="P78" s="95">
        <f ca="1">IF(P$12=0,0,IF(P$12=TS_Data_Full_Pers+1,Fcast_TA!$I$54,O82))</f>
        <v>23.477006365966794</v>
      </c>
      <c r="Q78" s="95">
        <f ca="1">IF(Q$12=0,0,IF(Q$12=TS_Data_Full_Pers+1,Fcast_TA!$I$54,P82))</f>
        <v>25.651431525115964</v>
      </c>
    </row>
    <row r="79" spans="3:17" s="16" customFormat="1">
      <c r="D79" s="5" t="str">
        <f>C22</f>
        <v>Capital Expenditure - Intangibles</v>
      </c>
      <c r="J79" s="95">
        <f t="shared" ref="J79:Q79" si="34">J22</f>
        <v>0</v>
      </c>
      <c r="K79" s="95">
        <f t="shared" si="34"/>
        <v>0</v>
      </c>
      <c r="L79" s="95">
        <f t="shared" si="34"/>
        <v>0</v>
      </c>
      <c r="M79" s="95">
        <f t="shared" si="34"/>
        <v>2.6922265624999997</v>
      </c>
      <c r="N79" s="95">
        <f t="shared" si="34"/>
        <v>2.7595322265624995</v>
      </c>
      <c r="O79" s="95">
        <f t="shared" si="34"/>
        <v>2.8285205322265616</v>
      </c>
      <c r="P79" s="95">
        <f t="shared" si="34"/>
        <v>2.8992335455322253</v>
      </c>
      <c r="Q79" s="95">
        <f t="shared" si="34"/>
        <v>2.9717143841705309</v>
      </c>
    </row>
    <row r="80" spans="3:17" s="16" customFormat="1" hidden="1" outlineLevel="2">
      <c r="D80" s="168" t="s">
        <v>470</v>
      </c>
      <c r="J80" s="119">
        <f>IF(J$12=0,0,Fcast_TA!J55)</f>
        <v>0</v>
      </c>
      <c r="K80" s="119">
        <f>IF(K$12=0,0,Fcast_TA!K55)</f>
        <v>0</v>
      </c>
      <c r="L80" s="119">
        <f>IF(L$12=0,0,Fcast_TA!L55)</f>
        <v>0</v>
      </c>
      <c r="M80" s="119">
        <f>IF(M$12=0,0,Fcast_TA!M55)</f>
        <v>0.25</v>
      </c>
      <c r="N80" s="119">
        <f>IF(N$12=0,0,Fcast_TA!N55)</f>
        <v>0.25</v>
      </c>
      <c r="O80" s="119">
        <f>IF(O$12=0,0,Fcast_TA!O55)</f>
        <v>0.25</v>
      </c>
      <c r="P80" s="119">
        <f>IF(P$12=0,0,Fcast_TA!P55)</f>
        <v>0.25</v>
      </c>
      <c r="Q80" s="119">
        <f>IF(Q$12=0,0,Fcast_TA!Q55)</f>
        <v>0.25</v>
      </c>
    </row>
    <row r="81" spans="2:17" s="22" customFormat="1" collapsed="1">
      <c r="D81" s="173" t="s">
        <v>471</v>
      </c>
      <c r="J81" s="122">
        <f t="shared" ref="J81:Q81" si="35">-J79*J80</f>
        <v>0</v>
      </c>
      <c r="K81" s="122">
        <f t="shared" si="35"/>
        <v>0</v>
      </c>
      <c r="L81" s="122">
        <f t="shared" si="35"/>
        <v>0</v>
      </c>
      <c r="M81" s="122">
        <f t="shared" si="35"/>
        <v>-0.67305664062499992</v>
      </c>
      <c r="N81" s="122">
        <f t="shared" si="35"/>
        <v>-0.68988305664062488</v>
      </c>
      <c r="O81" s="122">
        <f t="shared" si="35"/>
        <v>-0.70713013305664041</v>
      </c>
      <c r="P81" s="122">
        <f t="shared" si="35"/>
        <v>-0.72480838638305634</v>
      </c>
      <c r="Q81" s="122">
        <f t="shared" si="35"/>
        <v>-0.74292859604263273</v>
      </c>
    </row>
    <row r="82" spans="2:17" s="16" customFormat="1">
      <c r="D82" s="169" t="s">
        <v>410</v>
      </c>
      <c r="J82" s="128">
        <f t="shared" ref="J82:Q82" si="36">J78+J79+J81</f>
        <v>0</v>
      </c>
      <c r="K82" s="128">
        <f t="shared" si="36"/>
        <v>0</v>
      </c>
      <c r="L82" s="128">
        <f t="shared" si="36"/>
        <v>0</v>
      </c>
      <c r="M82" s="128">
        <f t="shared" ca="1" si="36"/>
        <v>19.285966796874998</v>
      </c>
      <c r="N82" s="128">
        <f t="shared" ca="1" si="36"/>
        <v>21.355615966796872</v>
      </c>
      <c r="O82" s="128">
        <f t="shared" ca="1" si="36"/>
        <v>23.477006365966794</v>
      </c>
      <c r="P82" s="128">
        <f t="shared" ca="1" si="36"/>
        <v>25.651431525115964</v>
      </c>
      <c r="Q82" s="128">
        <f t="shared" ca="1" si="36"/>
        <v>27.880217313243865</v>
      </c>
    </row>
    <row r="83" spans="2:17" s="16" customFormat="1"/>
    <row r="84" spans="2:17" s="16" customFormat="1" hidden="1" outlineLevel="2">
      <c r="E84" s="168" t="s">
        <v>239</v>
      </c>
      <c r="J84" s="96">
        <f t="shared" ref="J84:Q84" si="37">IF(ISERROR(J82-(J78+J79+J81)),1,0)</f>
        <v>0</v>
      </c>
      <c r="K84" s="96">
        <f t="shared" si="37"/>
        <v>0</v>
      </c>
      <c r="L84" s="96">
        <f t="shared" si="37"/>
        <v>0</v>
      </c>
      <c r="M84" s="96">
        <f t="shared" ca="1" si="37"/>
        <v>0</v>
      </c>
      <c r="N84" s="96">
        <f t="shared" ca="1" si="37"/>
        <v>0</v>
      </c>
      <c r="O84" s="96">
        <f t="shared" ca="1" si="37"/>
        <v>0</v>
      </c>
      <c r="P84" s="96">
        <f t="shared" ca="1" si="37"/>
        <v>0</v>
      </c>
      <c r="Q84" s="96">
        <f t="shared" ca="1" si="37"/>
        <v>0</v>
      </c>
    </row>
    <row r="85" spans="2:17" s="16" customFormat="1" hidden="1" outlineLevel="2">
      <c r="E85" s="168" t="s">
        <v>240</v>
      </c>
      <c r="J85" s="125">
        <f t="shared" ref="J85:Q85" si="38">IF(J84&lt;&gt;0,0,(ROUND(J82-(J78+J79+J81),5)&lt;&gt;0)*1)</f>
        <v>0</v>
      </c>
      <c r="K85" s="125">
        <f t="shared" si="38"/>
        <v>0</v>
      </c>
      <c r="L85" s="125">
        <f t="shared" si="38"/>
        <v>0</v>
      </c>
      <c r="M85" s="125">
        <f t="shared" ca="1" si="38"/>
        <v>0</v>
      </c>
      <c r="N85" s="125">
        <f t="shared" ca="1" si="38"/>
        <v>0</v>
      </c>
      <c r="O85" s="125">
        <f t="shared" ca="1" si="38"/>
        <v>0</v>
      </c>
      <c r="P85" s="125">
        <f t="shared" ca="1" si="38"/>
        <v>0</v>
      </c>
      <c r="Q85" s="125">
        <f t="shared" ca="1" si="38"/>
        <v>0</v>
      </c>
    </row>
    <row r="86" spans="2:17" s="16" customFormat="1" collapsed="1">
      <c r="D86" s="168" t="s">
        <v>411</v>
      </c>
      <c r="I86" s="99">
        <f ca="1">IF(ISERROR(SUM(J86:Q86)),0,MIN(SUM(J86:Q86),1))</f>
        <v>0</v>
      </c>
      <c r="J86" s="96">
        <f t="shared" ref="J86:Q86" si="39">MIN(SUM(J84:J85),1)</f>
        <v>0</v>
      </c>
      <c r="K86" s="96">
        <f t="shared" si="39"/>
        <v>0</v>
      </c>
      <c r="L86" s="96">
        <f t="shared" si="39"/>
        <v>0</v>
      </c>
      <c r="M86" s="96">
        <f t="shared" ca="1" si="39"/>
        <v>0</v>
      </c>
      <c r="N86" s="96">
        <f t="shared" ca="1" si="39"/>
        <v>0</v>
      </c>
      <c r="O86" s="96">
        <f t="shared" ca="1" si="39"/>
        <v>0</v>
      </c>
      <c r="P86" s="96">
        <f t="shared" ca="1" si="39"/>
        <v>0</v>
      </c>
      <c r="Q86" s="96">
        <f t="shared" ca="1" si="39"/>
        <v>0</v>
      </c>
    </row>
    <row r="89" spans="2:17" ht="12.75">
      <c r="B89" s="120" t="s">
        <v>400</v>
      </c>
    </row>
    <row r="91" spans="2:17" s="16" customFormat="1" ht="11.25">
      <c r="C91" s="94" t="s">
        <v>475</v>
      </c>
    </row>
    <row r="92" spans="2:17" s="16" customFormat="1" ht="11.25">
      <c r="C92" s="94"/>
    </row>
    <row r="93" spans="2:17">
      <c r="D93" s="4" t="str">
        <f>Fcast_TA!$D$62</f>
        <v>Funds Drawn ($Millions)</v>
      </c>
    </row>
    <row r="95" spans="2:17">
      <c r="E95" s="5" t="str">
        <f>Fcast_TA!E64</f>
        <v>Opening Balance</v>
      </c>
      <c r="J95" s="95">
        <f>IF(J$12=0,0,IF(J$12=TS_Data_Full_Pers+1,Fcast_TA!$I$64,I98))</f>
        <v>0</v>
      </c>
      <c r="K95" s="95">
        <f>IF(K$12=0,0,IF(K$12=TS_Data_Full_Pers+1,Fcast_TA!$I$64,J98))</f>
        <v>0</v>
      </c>
      <c r="L95" s="95">
        <f>IF(L$12=0,0,IF(L$12=TS_Data_Full_Pers+1,Fcast_TA!$I$64,K98))</f>
        <v>0</v>
      </c>
      <c r="M95" s="95">
        <f ca="1">IF(M$12=0,0,IF(M$12=TS_Data_Full_Pers+1,Fcast_TA!$I$64,L98))</f>
        <v>50</v>
      </c>
      <c r="N95" s="95">
        <f ca="1">IF(N$12=0,0,IF(N$12=TS_Data_Full_Pers+1,Fcast_TA!$I$64,M98))</f>
        <v>50</v>
      </c>
      <c r="O95" s="95">
        <f ca="1">IF(O$12=0,0,IF(O$12=TS_Data_Full_Pers+1,Fcast_TA!$I$64,N98))</f>
        <v>55</v>
      </c>
      <c r="P95" s="95">
        <f ca="1">IF(P$12=0,0,IF(P$12=TS_Data_Full_Pers+1,Fcast_TA!$I$64,O98))</f>
        <v>55</v>
      </c>
      <c r="Q95" s="95">
        <f ca="1">IF(Q$12=0,0,IF(Q$12=TS_Data_Full_Pers+1,Fcast_TA!$I$64,P98))</f>
        <v>55</v>
      </c>
    </row>
    <row r="96" spans="2:17">
      <c r="E96" s="5" t="str">
        <f>Fcast_TA!E65</f>
        <v>Debt Drawdowns</v>
      </c>
      <c r="J96" s="95">
        <f>IF(J$12=0,0,Fcast_TA!J65)</f>
        <v>0</v>
      </c>
      <c r="K96" s="95">
        <f>IF(K$12=0,0,Fcast_TA!K65)</f>
        <v>0</v>
      </c>
      <c r="L96" s="95">
        <f>IF(L$12=0,0,Fcast_TA!L65)</f>
        <v>0</v>
      </c>
      <c r="M96" s="95">
        <f>IF(M$12=0,0,Fcast_TA!M65)</f>
        <v>0</v>
      </c>
      <c r="N96" s="95">
        <f>IF(N$12=0,0,Fcast_TA!N65)</f>
        <v>50</v>
      </c>
      <c r="O96" s="95">
        <f>IF(O$12=0,0,Fcast_TA!O65)</f>
        <v>0</v>
      </c>
      <c r="P96" s="95">
        <f>IF(P$12=0,0,Fcast_TA!P65)</f>
        <v>0</v>
      </c>
      <c r="Q96" s="95">
        <f>IF(Q$12=0,0,Fcast_TA!Q65)</f>
        <v>0</v>
      </c>
    </row>
    <row r="97" spans="4:17">
      <c r="E97" s="5" t="str">
        <f>Fcast_TA!E66</f>
        <v>Debt Repayments</v>
      </c>
      <c r="J97" s="97">
        <f>IF(J$12=0,0,-Fcast_TA!J66)</f>
        <v>0</v>
      </c>
      <c r="K97" s="97">
        <f>IF(K$12=0,0,-Fcast_TA!K66)</f>
        <v>0</v>
      </c>
      <c r="L97" s="97">
        <f>IF(L$12=0,0,-Fcast_TA!L66)</f>
        <v>0</v>
      </c>
      <c r="M97" s="97">
        <f>IF(M$12=0,0,-Fcast_TA!M66)</f>
        <v>0</v>
      </c>
      <c r="N97" s="97">
        <f>IF(N$12=0,0,-Fcast_TA!N66)</f>
        <v>-45</v>
      </c>
      <c r="O97" s="97">
        <f>IF(O$12=0,0,-Fcast_TA!O66)</f>
        <v>0</v>
      </c>
      <c r="P97" s="97">
        <f>IF(P$12=0,0,-Fcast_TA!P66)</f>
        <v>0</v>
      </c>
      <c r="Q97" s="97">
        <f>IF(Q$12=0,0,-Fcast_TA!Q66)</f>
        <v>0</v>
      </c>
    </row>
    <row r="98" spans="4:17">
      <c r="E98" s="4" t="str">
        <f>Fcast_TA!E67</f>
        <v>Closing Debt Balance</v>
      </c>
      <c r="J98" s="98">
        <f>SUM(J95:J97)</f>
        <v>0</v>
      </c>
      <c r="K98" s="98">
        <f t="shared" ref="K98:Q98" si="40">SUM(K95:K97)</f>
        <v>0</v>
      </c>
      <c r="L98" s="98">
        <f t="shared" si="40"/>
        <v>0</v>
      </c>
      <c r="M98" s="98">
        <f t="shared" ca="1" si="40"/>
        <v>50</v>
      </c>
      <c r="N98" s="98">
        <f t="shared" ca="1" si="40"/>
        <v>55</v>
      </c>
      <c r="O98" s="98">
        <f t="shared" ca="1" si="40"/>
        <v>55</v>
      </c>
      <c r="P98" s="98">
        <f t="shared" ca="1" si="40"/>
        <v>55</v>
      </c>
      <c r="Q98" s="98">
        <f t="shared" ca="1" si="40"/>
        <v>55</v>
      </c>
    </row>
    <row r="100" spans="4:17">
      <c r="D100" s="4" t="str">
        <f>Fcast_TA!$D$71</f>
        <v>Interest Expense</v>
      </c>
    </row>
    <row r="102" spans="4:17">
      <c r="E102" s="5" t="str">
        <f>Fcast_TA!E75</f>
        <v>Base Interest Rate (% p.a.)</v>
      </c>
      <c r="J102" s="132">
        <f>IF(J$12=0,0,Fcast_TA!J75)</f>
        <v>0</v>
      </c>
      <c r="K102" s="132">
        <f>IF(K$12=0,0,Fcast_TA!K75)</f>
        <v>0</v>
      </c>
      <c r="L102" s="132">
        <f>IF(L$12=0,0,Fcast_TA!L75)</f>
        <v>0</v>
      </c>
      <c r="M102" s="132">
        <f>IF(M$12=0,0,Fcast_TA!M75)</f>
        <v>0.05</v>
      </c>
      <c r="N102" s="132">
        <f>IF(N$12=0,0,Fcast_TA!N75)</f>
        <v>0.05</v>
      </c>
      <c r="O102" s="132">
        <f>IF(O$12=0,0,Fcast_TA!O75)</f>
        <v>0.05</v>
      </c>
      <c r="P102" s="132">
        <f>IF(P$12=0,0,Fcast_TA!P75)</f>
        <v>0.05</v>
      </c>
      <c r="Q102" s="132">
        <f>IF(Q$12=0,0,Fcast_TA!Q75)</f>
        <v>0.05</v>
      </c>
    </row>
    <row r="103" spans="4:17">
      <c r="E103" s="5" t="str">
        <f>Fcast_TA!E76</f>
        <v>Margin (% p.a.)</v>
      </c>
      <c r="J103" s="132">
        <f>IF(J$12=0,0,Fcast_TA!J76)</f>
        <v>0</v>
      </c>
      <c r="K103" s="132">
        <f>IF(K$12=0,0,Fcast_TA!K76)</f>
        <v>0</v>
      </c>
      <c r="L103" s="132">
        <f>IF(L$12=0,0,Fcast_TA!L76)</f>
        <v>0</v>
      </c>
      <c r="M103" s="132">
        <f>IF(M$12=0,0,Fcast_TA!M76)</f>
        <v>1.4999999999999999E-2</v>
      </c>
      <c r="N103" s="132">
        <f>IF(N$12=0,0,Fcast_TA!N76)</f>
        <v>1.4999999999999999E-2</v>
      </c>
      <c r="O103" s="132">
        <f>IF(O$12=0,0,Fcast_TA!O76)</f>
        <v>1.4999999999999999E-2</v>
      </c>
      <c r="P103" s="132">
        <f>IF(P$12=0,0,Fcast_TA!P76)</f>
        <v>1.4999999999999999E-2</v>
      </c>
      <c r="Q103" s="132">
        <f>IF(Q$12=0,0,Fcast_TA!Q76)</f>
        <v>1.4999999999999999E-2</v>
      </c>
    </row>
    <row r="104" spans="4:17">
      <c r="E104" s="5" t="str">
        <f>Fcast_TA!E77</f>
        <v>All-In Interest Rate (% p.a.)</v>
      </c>
      <c r="J104" s="136">
        <f>SUM(J102:J103)</f>
        <v>0</v>
      </c>
      <c r="K104" s="136">
        <f t="shared" ref="K104:Q104" si="41">SUM(K102:K103)</f>
        <v>0</v>
      </c>
      <c r="L104" s="136">
        <f t="shared" si="41"/>
        <v>0</v>
      </c>
      <c r="M104" s="136">
        <f t="shared" si="41"/>
        <v>6.5000000000000002E-2</v>
      </c>
      <c r="N104" s="136">
        <f t="shared" si="41"/>
        <v>6.5000000000000002E-2</v>
      </c>
      <c r="O104" s="136">
        <f t="shared" si="41"/>
        <v>6.5000000000000002E-2</v>
      </c>
      <c r="P104" s="136">
        <f t="shared" si="41"/>
        <v>6.5000000000000002E-2</v>
      </c>
      <c r="Q104" s="136">
        <f t="shared" si="41"/>
        <v>6.5000000000000002E-2</v>
      </c>
    </row>
    <row r="106" spans="4:17" s="16" customFormat="1">
      <c r="E106" s="117" t="str">
        <f>Mth_Name&amp;"s in "&amp;CHOOSE(MATCH(TS_Periodicity,LU_Periodicity,0),
"Financial "&amp;Yr_Name,
Half_Yr_Name,
Qtr_Name,
Mth_Name)</f>
        <v>Months in Financial Year</v>
      </c>
      <c r="J106" s="142">
        <f t="shared" ref="J106:Q106" si="42">IF(J$12=0,0,Mths_In_Yr/INDEX(LU_Pers_In_Yr,MATCH(TS_Periodicity,LU_Periodicity,0)))</f>
        <v>0</v>
      </c>
      <c r="K106" s="142">
        <f t="shared" si="42"/>
        <v>0</v>
      </c>
      <c r="L106" s="142">
        <f t="shared" si="42"/>
        <v>0</v>
      </c>
      <c r="M106" s="142">
        <f t="shared" si="42"/>
        <v>12</v>
      </c>
      <c r="N106" s="142">
        <f t="shared" si="42"/>
        <v>12</v>
      </c>
      <c r="O106" s="142">
        <f t="shared" si="42"/>
        <v>12</v>
      </c>
      <c r="P106" s="142">
        <f t="shared" si="42"/>
        <v>12</v>
      </c>
      <c r="Q106" s="142">
        <f t="shared" si="42"/>
        <v>12</v>
      </c>
    </row>
    <row r="107" spans="4:17">
      <c r="E107" s="108" t="s">
        <v>255</v>
      </c>
      <c r="J107" s="119">
        <f t="shared" ref="J107:Q107" si="43">IF(J$12=0,0,IF(J$12=1,IF(J$9=EOMONTH(J$9,0),(DAY(EOMONTH(J$8,0))-DAY(J$8)+1)/DAY(EOMONTH(J$8,0))+MONTH(J$9)-MONTH(J$8)+(YEAR(J$9)&lt;&gt;YEAR(J$8))*Mths_In_Yr,J106)/Mths_In_Yr,
1/(Mths_In_Yr/J106)))</f>
        <v>0</v>
      </c>
      <c r="K107" s="119">
        <f t="shared" si="43"/>
        <v>0</v>
      </c>
      <c r="L107" s="119">
        <f t="shared" si="43"/>
        <v>0</v>
      </c>
      <c r="M107" s="119">
        <f t="shared" si="43"/>
        <v>1</v>
      </c>
      <c r="N107" s="119">
        <f t="shared" si="43"/>
        <v>1</v>
      </c>
      <c r="O107" s="119">
        <f t="shared" si="43"/>
        <v>1</v>
      </c>
      <c r="P107" s="119">
        <f t="shared" si="43"/>
        <v>1</v>
      </c>
      <c r="Q107" s="119">
        <f t="shared" si="43"/>
        <v>1</v>
      </c>
    </row>
    <row r="108" spans="4:17">
      <c r="E108" s="5" t="str">
        <f>Fcast_TA!$E$69</f>
        <v>Drawdowns/Repayments % into Period</v>
      </c>
      <c r="J108" s="119">
        <f>IF(J$12=0,0,Fcast_TA!J69)</f>
        <v>0</v>
      </c>
      <c r="K108" s="119">
        <f>IF(K$12=0,0,Fcast_TA!K69)</f>
        <v>0</v>
      </c>
      <c r="L108" s="119">
        <f>IF(L$12=0,0,Fcast_TA!L69)</f>
        <v>0</v>
      </c>
      <c r="M108" s="119">
        <f>IF(M$12=0,0,Fcast_TA!M69)</f>
        <v>0.5</v>
      </c>
      <c r="N108" s="119">
        <f>IF(N$12=0,0,Fcast_TA!N69)</f>
        <v>0.5</v>
      </c>
      <c r="O108" s="119">
        <f>IF(O$12=0,0,Fcast_TA!O69)</f>
        <v>0.5</v>
      </c>
      <c r="P108" s="119">
        <f>IF(P$12=0,0,Fcast_TA!P69)</f>
        <v>0.5</v>
      </c>
      <c r="Q108" s="119">
        <f>IF(Q$12=0,0,Fcast_TA!Q69)</f>
        <v>0.5</v>
      </c>
    </row>
    <row r="109" spans="4:17">
      <c r="E109" s="108" t="s">
        <v>256</v>
      </c>
      <c r="J109" s="97">
        <f>J95*J108+(1-J108)*J98</f>
        <v>0</v>
      </c>
      <c r="K109" s="97">
        <f t="shared" ref="K109:Q109" si="44">K95*K108+(1-K108)*K98</f>
        <v>0</v>
      </c>
      <c r="L109" s="97">
        <f t="shared" si="44"/>
        <v>0</v>
      </c>
      <c r="M109" s="97">
        <f t="shared" ca="1" si="44"/>
        <v>50</v>
      </c>
      <c r="N109" s="97">
        <f t="shared" ca="1" si="44"/>
        <v>52.5</v>
      </c>
      <c r="O109" s="97">
        <f t="shared" ca="1" si="44"/>
        <v>55</v>
      </c>
      <c r="P109" s="97">
        <f t="shared" ca="1" si="44"/>
        <v>55</v>
      </c>
      <c r="Q109" s="97">
        <f t="shared" ca="1" si="44"/>
        <v>55</v>
      </c>
    </row>
    <row r="110" spans="4:17">
      <c r="E110" s="169" t="s">
        <v>250</v>
      </c>
      <c r="J110" s="98">
        <f>J104*J107*J109</f>
        <v>0</v>
      </c>
      <c r="K110" s="98">
        <f t="shared" ref="K110:Q110" si="45">K104*K107*K109</f>
        <v>0</v>
      </c>
      <c r="L110" s="98">
        <f t="shared" si="45"/>
        <v>0</v>
      </c>
      <c r="M110" s="98">
        <f t="shared" ca="1" si="45"/>
        <v>3.25</v>
      </c>
      <c r="N110" s="98">
        <f t="shared" ca="1" si="45"/>
        <v>3.4125000000000001</v>
      </c>
      <c r="O110" s="98">
        <f t="shared" ca="1" si="45"/>
        <v>3.5750000000000002</v>
      </c>
      <c r="P110" s="98">
        <f t="shared" ca="1" si="45"/>
        <v>3.5750000000000002</v>
      </c>
      <c r="Q110" s="98">
        <f t="shared" ca="1" si="45"/>
        <v>3.5750000000000002</v>
      </c>
    </row>
    <row r="112" spans="4:17">
      <c r="E112" s="5" t="str">
        <f>Fcast_TA!$E$73</f>
        <v>Opening Interest Payable ($Millions)</v>
      </c>
      <c r="J112" s="95">
        <f>IF(J$12=0,0,IF(J$12=TS_Data_Full_Pers+1,Fcast_TA!$I$73,I115))</f>
        <v>0</v>
      </c>
      <c r="K112" s="95">
        <f>IF(K$12=0,0,IF(K$12=TS_Data_Full_Pers+1,Fcast_TA!$I$73,J115))</f>
        <v>0</v>
      </c>
      <c r="L112" s="95">
        <f>IF(L$12=0,0,IF(L$12=TS_Data_Full_Pers+1,Fcast_TA!$I$73,K115))</f>
        <v>0</v>
      </c>
      <c r="M112" s="95">
        <f ca="1">IF(M$12=0,0,IF(M$12=TS_Data_Full_Pers+1,Fcast_TA!$I$73,L115))</f>
        <v>0</v>
      </c>
      <c r="N112" s="95">
        <f ca="1">IF(N$12=0,0,IF(N$12=TS_Data_Full_Pers+1,Fcast_TA!$I$73,M115))</f>
        <v>0</v>
      </c>
      <c r="O112" s="95">
        <f ca="1">IF(O$12=0,0,IF(O$12=TS_Data_Full_Pers+1,Fcast_TA!$I$73,N115))</f>
        <v>0</v>
      </c>
      <c r="P112" s="95">
        <f ca="1">IF(P$12=0,0,IF(P$12=TS_Data_Full_Pers+1,Fcast_TA!$I$73,O115))</f>
        <v>0</v>
      </c>
      <c r="Q112" s="95">
        <f ca="1">IF(Q$12=0,0,IF(Q$12=TS_Data_Full_Pers+1,Fcast_TA!$I$73,P115))</f>
        <v>0</v>
      </c>
    </row>
    <row r="113" spans="3:17">
      <c r="E113" s="5" t="str">
        <f>$E$110</f>
        <v>Interest Expense</v>
      </c>
      <c r="J113" s="95">
        <f t="shared" ref="J113:Q113" si="46">J110</f>
        <v>0</v>
      </c>
      <c r="K113" s="95">
        <f t="shared" si="46"/>
        <v>0</v>
      </c>
      <c r="L113" s="95">
        <f t="shared" si="46"/>
        <v>0</v>
      </c>
      <c r="M113" s="95">
        <f t="shared" ca="1" si="46"/>
        <v>3.25</v>
      </c>
      <c r="N113" s="95">
        <f t="shared" ca="1" si="46"/>
        <v>3.4125000000000001</v>
      </c>
      <c r="O113" s="95">
        <f t="shared" ca="1" si="46"/>
        <v>3.5750000000000002</v>
      </c>
      <c r="P113" s="95">
        <f t="shared" ca="1" si="46"/>
        <v>3.5750000000000002</v>
      </c>
      <c r="Q113" s="95">
        <f t="shared" ca="1" si="46"/>
        <v>3.5750000000000002</v>
      </c>
    </row>
    <row r="114" spans="3:17">
      <c r="E114" s="108" t="s">
        <v>257</v>
      </c>
      <c r="J114" s="97">
        <f t="shared" ref="J114:Q114" si="47">-J113</f>
        <v>0</v>
      </c>
      <c r="K114" s="97">
        <f t="shared" si="47"/>
        <v>0</v>
      </c>
      <c r="L114" s="97">
        <f t="shared" si="47"/>
        <v>0</v>
      </c>
      <c r="M114" s="97">
        <f t="shared" ca="1" si="47"/>
        <v>-3.25</v>
      </c>
      <c r="N114" s="97">
        <f t="shared" ca="1" si="47"/>
        <v>-3.4125000000000001</v>
      </c>
      <c r="O114" s="97">
        <f t="shared" ca="1" si="47"/>
        <v>-3.5750000000000002</v>
      </c>
      <c r="P114" s="97">
        <f t="shared" ca="1" si="47"/>
        <v>-3.5750000000000002</v>
      </c>
      <c r="Q114" s="97">
        <f t="shared" ca="1" si="47"/>
        <v>-3.5750000000000002</v>
      </c>
    </row>
    <row r="115" spans="3:17">
      <c r="E115" s="109" t="s">
        <v>258</v>
      </c>
      <c r="J115" s="95">
        <f t="shared" ref="J115:Q115" si="48">SUM(J112:J114)</f>
        <v>0</v>
      </c>
      <c r="K115" s="95">
        <f t="shared" si="48"/>
        <v>0</v>
      </c>
      <c r="L115" s="95">
        <f t="shared" si="48"/>
        <v>0</v>
      </c>
      <c r="M115" s="95">
        <f t="shared" ca="1" si="48"/>
        <v>0</v>
      </c>
      <c r="N115" s="95">
        <f t="shared" ca="1" si="48"/>
        <v>0</v>
      </c>
      <c r="O115" s="95">
        <f t="shared" ca="1" si="48"/>
        <v>0</v>
      </c>
      <c r="P115" s="95">
        <f t="shared" ca="1" si="48"/>
        <v>0</v>
      </c>
      <c r="Q115" s="95">
        <f t="shared" ca="1" si="48"/>
        <v>0</v>
      </c>
    </row>
    <row r="117" spans="3:17" ht="11.25">
      <c r="C117" s="94" t="s">
        <v>416</v>
      </c>
    </row>
    <row r="119" spans="3:17">
      <c r="D119" s="4" t="str">
        <f>Fcast_TA!$D$81</f>
        <v>Ordinary Equity Balances ($Millions)</v>
      </c>
    </row>
    <row r="121" spans="3:17">
      <c r="E121" s="5" t="str">
        <f>Fcast_TA!E83</f>
        <v>Opening Balance</v>
      </c>
      <c r="J121" s="95">
        <f>IF(J$12=0,0,IF(J$12=TS_Data_Full_Pers+1,Fcast_TA!$I$83,I124))</f>
        <v>0</v>
      </c>
      <c r="K121" s="95">
        <f>IF(K$12=0,0,IF(K$12=TS_Data_Full_Pers+1,Fcast_TA!$I$83,J124))</f>
        <v>0</v>
      </c>
      <c r="L121" s="95">
        <f>IF(L$12=0,0,IF(L$12=TS_Data_Full_Pers+1,Fcast_TA!$I$83,K124))</f>
        <v>0</v>
      </c>
      <c r="M121" s="95">
        <f ca="1">IF(M$12=0,0,IF(M$12=TS_Data_Full_Pers+1,Fcast_TA!$I$83,L124))</f>
        <v>75</v>
      </c>
      <c r="N121" s="95">
        <f ca="1">IF(N$12=0,0,IF(N$12=TS_Data_Full_Pers+1,Fcast_TA!$I$83,M124))</f>
        <v>75</v>
      </c>
      <c r="O121" s="95">
        <f ca="1">IF(O$12=0,0,IF(O$12=TS_Data_Full_Pers+1,Fcast_TA!$I$83,N124))</f>
        <v>75</v>
      </c>
      <c r="P121" s="95">
        <f ca="1">IF(P$12=0,0,IF(P$12=TS_Data_Full_Pers+1,Fcast_TA!$I$83,O124))</f>
        <v>75</v>
      </c>
      <c r="Q121" s="95">
        <f ca="1">IF(Q$12=0,0,IF(Q$12=TS_Data_Full_Pers+1,Fcast_TA!$I$83,P124))</f>
        <v>75</v>
      </c>
    </row>
    <row r="122" spans="3:17">
      <c r="E122" s="5" t="str">
        <f>Fcast_TA!E84</f>
        <v>Equity Raisings</v>
      </c>
      <c r="J122" s="95">
        <f>IF(J$12=0,0,Fcast_TA!J84)</f>
        <v>0</v>
      </c>
      <c r="K122" s="95">
        <f>IF(K$12=0,0,Fcast_TA!K84)</f>
        <v>0</v>
      </c>
      <c r="L122" s="95">
        <f>IF(L$12=0,0,Fcast_TA!L84)</f>
        <v>0</v>
      </c>
      <c r="M122" s="95">
        <f>IF(M$12=0,0,Fcast_TA!M84)</f>
        <v>0</v>
      </c>
      <c r="N122" s="95">
        <f>IF(N$12=0,0,Fcast_TA!N84)</f>
        <v>0</v>
      </c>
      <c r="O122" s="95">
        <f>IF(O$12=0,0,Fcast_TA!O84)</f>
        <v>0</v>
      </c>
      <c r="P122" s="95">
        <f>IF(P$12=0,0,Fcast_TA!P84)</f>
        <v>0</v>
      </c>
      <c r="Q122" s="95">
        <f>IF(Q$12=0,0,Fcast_TA!Q84)</f>
        <v>0</v>
      </c>
    </row>
    <row r="123" spans="3:17">
      <c r="E123" s="5" t="str">
        <f>Fcast_TA!E85</f>
        <v>Equity Repayments</v>
      </c>
      <c r="J123" s="97">
        <f>IF(J$12=0,0,-Fcast_TA!J85)</f>
        <v>0</v>
      </c>
      <c r="K123" s="97">
        <f>IF(K$12=0,0,-Fcast_TA!K85)</f>
        <v>0</v>
      </c>
      <c r="L123" s="97">
        <f>IF(L$12=0,0,-Fcast_TA!L85)</f>
        <v>0</v>
      </c>
      <c r="M123" s="97">
        <f>IF(M$12=0,0,-Fcast_TA!M85)</f>
        <v>0</v>
      </c>
      <c r="N123" s="97">
        <f>IF(N$12=0,0,-Fcast_TA!N85)</f>
        <v>0</v>
      </c>
      <c r="O123" s="97">
        <f>IF(O$12=0,0,-Fcast_TA!O85)</f>
        <v>0</v>
      </c>
      <c r="P123" s="97">
        <f>IF(P$12=0,0,-Fcast_TA!P85)</f>
        <v>0</v>
      </c>
      <c r="Q123" s="97">
        <f>IF(Q$12=0,0,-Fcast_TA!Q85)</f>
        <v>0</v>
      </c>
    </row>
    <row r="124" spans="3:17">
      <c r="E124" s="4" t="str">
        <f>Fcast_TA!E86</f>
        <v>Closing Ordinary Equity</v>
      </c>
      <c r="J124" s="98">
        <f>SUM(J121:J123)</f>
        <v>0</v>
      </c>
      <c r="K124" s="98">
        <f t="shared" ref="K124:Q124" si="49">SUM(K121:K123)</f>
        <v>0</v>
      </c>
      <c r="L124" s="98">
        <f t="shared" si="49"/>
        <v>0</v>
      </c>
      <c r="M124" s="98">
        <f t="shared" ca="1" si="49"/>
        <v>75</v>
      </c>
      <c r="N124" s="98">
        <f t="shared" ca="1" si="49"/>
        <v>75</v>
      </c>
      <c r="O124" s="98">
        <f t="shared" ca="1" si="49"/>
        <v>75</v>
      </c>
      <c r="P124" s="98">
        <f t="shared" ca="1" si="49"/>
        <v>75</v>
      </c>
      <c r="Q124" s="98">
        <f t="shared" ca="1" si="49"/>
        <v>75</v>
      </c>
    </row>
    <row r="126" spans="3:17">
      <c r="D126" s="4" t="str">
        <f>Fcast_TA!$D$88</f>
        <v>Dividends Payable &amp; Paid</v>
      </c>
    </row>
    <row r="128" spans="3:17">
      <c r="E128" s="108" t="s">
        <v>245</v>
      </c>
      <c r="J128" s="95">
        <f>IF(J$12=0,0,IF(J$12=TS_Data_Full_Pers+1,Fcast_TA!$I$90,I131))</f>
        <v>0</v>
      </c>
      <c r="K128" s="95">
        <f>IF(K$12=0,0,IF(K$12=TS_Data_Full_Pers+1,Fcast_TA!$I$90,J131))</f>
        <v>0</v>
      </c>
      <c r="L128" s="95">
        <f>IF(L$12=0,0,IF(L$12=TS_Data_Full_Pers+1,Fcast_TA!$I$90,K131))</f>
        <v>0</v>
      </c>
      <c r="M128" s="95">
        <f ca="1">IF(M$12=0,0,IF(M$12=TS_Data_Full_Pers+1,Fcast_TA!$I$90,L131))</f>
        <v>0</v>
      </c>
      <c r="N128" s="95">
        <f ca="1">IF(N$12=0,0,IF(N$12=TS_Data_Full_Pers+1,Fcast_TA!$I$90,M131))</f>
        <v>0</v>
      </c>
      <c r="O128" s="95">
        <f ca="1">IF(O$12=0,0,IF(O$12=TS_Data_Full_Pers+1,Fcast_TA!$I$90,N131))</f>
        <v>0</v>
      </c>
      <c r="P128" s="95">
        <f ca="1">IF(P$12=0,0,IF(P$12=TS_Data_Full_Pers+1,Fcast_TA!$I$90,O131))</f>
        <v>0</v>
      </c>
      <c r="Q128" s="95">
        <f ca="1">IF(Q$12=0,0,IF(Q$12=TS_Data_Full_Pers+1,Fcast_TA!$I$90,P131))</f>
        <v>0</v>
      </c>
    </row>
    <row r="129" spans="4:17">
      <c r="E129" s="108" t="s">
        <v>272</v>
      </c>
      <c r="J129" s="95">
        <f t="shared" ref="J129:Q129" si="50">J155</f>
        <v>0</v>
      </c>
      <c r="K129" s="95">
        <f t="shared" si="50"/>
        <v>0</v>
      </c>
      <c r="L129" s="95">
        <f t="shared" si="50"/>
        <v>0</v>
      </c>
      <c r="M129" s="95">
        <f t="shared" ca="1" si="50"/>
        <v>16.153325097656253</v>
      </c>
      <c r="N129" s="95">
        <f t="shared" ca="1" si="50"/>
        <v>16.528720725097664</v>
      </c>
      <c r="O129" s="95">
        <f t="shared" ca="1" si="50"/>
        <v>16.914923118225101</v>
      </c>
      <c r="P129" s="95">
        <f t="shared" ca="1" si="50"/>
        <v>17.369077446180725</v>
      </c>
      <c r="Q129" s="95">
        <f t="shared" ca="1" si="50"/>
        <v>17.834585632335237</v>
      </c>
    </row>
    <row r="130" spans="4:17">
      <c r="E130" s="108" t="s">
        <v>273</v>
      </c>
      <c r="J130" s="97">
        <f t="shared" ref="J130:Q130" si="51">-J129</f>
        <v>0</v>
      </c>
      <c r="K130" s="97">
        <f t="shared" si="51"/>
        <v>0</v>
      </c>
      <c r="L130" s="97">
        <f t="shared" si="51"/>
        <v>0</v>
      </c>
      <c r="M130" s="97">
        <f t="shared" ca="1" si="51"/>
        <v>-16.153325097656253</v>
      </c>
      <c r="N130" s="97">
        <f t="shared" ca="1" si="51"/>
        <v>-16.528720725097664</v>
      </c>
      <c r="O130" s="97">
        <f t="shared" ca="1" si="51"/>
        <v>-16.914923118225101</v>
      </c>
      <c r="P130" s="97">
        <f t="shared" ca="1" si="51"/>
        <v>-17.369077446180725</v>
      </c>
      <c r="Q130" s="97">
        <f t="shared" ca="1" si="51"/>
        <v>-17.834585632335237</v>
      </c>
    </row>
    <row r="131" spans="4:17">
      <c r="E131" s="109" t="s">
        <v>274</v>
      </c>
      <c r="J131" s="98">
        <f t="shared" ref="J131:Q131" si="52">SUM(J128:J130)</f>
        <v>0</v>
      </c>
      <c r="K131" s="98">
        <f t="shared" si="52"/>
        <v>0</v>
      </c>
      <c r="L131" s="98">
        <f t="shared" si="52"/>
        <v>0</v>
      </c>
      <c r="M131" s="98">
        <f t="shared" ca="1" si="52"/>
        <v>0</v>
      </c>
      <c r="N131" s="98">
        <f t="shared" ca="1" si="52"/>
        <v>0</v>
      </c>
      <c r="O131" s="98">
        <f t="shared" ca="1" si="52"/>
        <v>0</v>
      </c>
      <c r="P131" s="98">
        <f t="shared" ca="1" si="52"/>
        <v>0</v>
      </c>
      <c r="Q131" s="98">
        <f t="shared" ca="1" si="52"/>
        <v>0</v>
      </c>
    </row>
    <row r="133" spans="4:17" hidden="1" outlineLevel="2">
      <c r="F133" s="108" t="s">
        <v>239</v>
      </c>
      <c r="J133" s="96">
        <f t="shared" ref="J133:Q133" si="53">IF(ISERROR(SUM(J121:J124,J128:J131)),1,0)</f>
        <v>0</v>
      </c>
      <c r="K133" s="96">
        <f t="shared" si="53"/>
        <v>0</v>
      </c>
      <c r="L133" s="96">
        <f t="shared" si="53"/>
        <v>0</v>
      </c>
      <c r="M133" s="96">
        <f t="shared" ca="1" si="53"/>
        <v>0</v>
      </c>
      <c r="N133" s="96">
        <f t="shared" ca="1" si="53"/>
        <v>0</v>
      </c>
      <c r="O133" s="96">
        <f t="shared" ca="1" si="53"/>
        <v>0</v>
      </c>
      <c r="P133" s="96">
        <f t="shared" ca="1" si="53"/>
        <v>0</v>
      </c>
      <c r="Q133" s="96">
        <f t="shared" ca="1" si="53"/>
        <v>0</v>
      </c>
    </row>
    <row r="134" spans="4:17" hidden="1" outlineLevel="2">
      <c r="F134" s="108" t="s">
        <v>275</v>
      </c>
      <c r="J134" s="102">
        <f t="shared" ref="J134:Q134" si="54">IF(J133&lt;&gt;0,0,OR(ROUND(J121,5)&lt;0,ROUND(J122,5)&lt;0,ROUND(J123,5)&gt;0,ROUND(J124,5)&lt;0,ROUND(J124-SUM(J121:J123),5)&lt;&gt;0)*1)</f>
        <v>0</v>
      </c>
      <c r="K134" s="102">
        <f t="shared" si="54"/>
        <v>0</v>
      </c>
      <c r="L134" s="102">
        <f t="shared" si="54"/>
        <v>0</v>
      </c>
      <c r="M134" s="102">
        <f t="shared" ca="1" si="54"/>
        <v>0</v>
      </c>
      <c r="N134" s="102">
        <f t="shared" ca="1" si="54"/>
        <v>0</v>
      </c>
      <c r="O134" s="102">
        <f t="shared" ca="1" si="54"/>
        <v>0</v>
      </c>
      <c r="P134" s="102">
        <f t="shared" ca="1" si="54"/>
        <v>0</v>
      </c>
      <c r="Q134" s="102">
        <f t="shared" ca="1" si="54"/>
        <v>0</v>
      </c>
    </row>
    <row r="135" spans="4:17" hidden="1" outlineLevel="2">
      <c r="F135" s="108" t="s">
        <v>276</v>
      </c>
      <c r="J135" s="125">
        <f t="shared" ref="J135:Q135" si="55">IF(J133&lt;&gt;0,0,OR(ROUND(J128,5)&lt;0,ROUND(J129,5)&lt;0,ROUND(J130,5)&gt;0,ROUND(J131,5)&lt;0,ROUND(J131-SUM(J128:J130),5)&lt;&gt;0)*1)</f>
        <v>0</v>
      </c>
      <c r="K135" s="125">
        <f t="shared" si="55"/>
        <v>0</v>
      </c>
      <c r="L135" s="125">
        <f t="shared" si="55"/>
        <v>0</v>
      </c>
      <c r="M135" s="125">
        <f t="shared" ca="1" si="55"/>
        <v>0</v>
      </c>
      <c r="N135" s="125">
        <f t="shared" ca="1" si="55"/>
        <v>0</v>
      </c>
      <c r="O135" s="125">
        <f t="shared" ca="1" si="55"/>
        <v>0</v>
      </c>
      <c r="P135" s="125">
        <f t="shared" ca="1" si="55"/>
        <v>0</v>
      </c>
      <c r="Q135" s="125">
        <f t="shared" ca="1" si="55"/>
        <v>0</v>
      </c>
    </row>
    <row r="136" spans="4:17" collapsed="1">
      <c r="E136" s="108" t="s">
        <v>411</v>
      </c>
      <c r="I136" s="99">
        <f ca="1">IF(ISERROR(SUM(J136:Q136)),0,MIN(SUM(J136:Q136),1))</f>
        <v>0</v>
      </c>
      <c r="J136" s="96">
        <f t="shared" ref="J136:Q136" si="56">IF(ISERROR(SUM(J133:J135)),1,
MIN(1,SUM(J133:J135)))</f>
        <v>0</v>
      </c>
      <c r="K136" s="96">
        <f t="shared" si="56"/>
        <v>0</v>
      </c>
      <c r="L136" s="96">
        <f t="shared" si="56"/>
        <v>0</v>
      </c>
      <c r="M136" s="96">
        <f t="shared" ca="1" si="56"/>
        <v>0</v>
      </c>
      <c r="N136" s="96">
        <f t="shared" ca="1" si="56"/>
        <v>0</v>
      </c>
      <c r="O136" s="96">
        <f t="shared" ca="1" si="56"/>
        <v>0</v>
      </c>
      <c r="P136" s="96">
        <f t="shared" ca="1" si="56"/>
        <v>0</v>
      </c>
      <c r="Q136" s="96">
        <f t="shared" ca="1" si="56"/>
        <v>0</v>
      </c>
    </row>
    <row r="137" spans="4:17" hidden="1" outlineLevel="2"/>
    <row r="138" spans="4:17" collapsed="1">
      <c r="E138" s="108" t="s">
        <v>424</v>
      </c>
      <c r="I138" s="99">
        <f ca="1">IF(ISERROR(SUM(J138:Q138)),0,MIN(SUM(J138:Q138),1))</f>
        <v>0</v>
      </c>
      <c r="J138" s="96">
        <f t="shared" ref="J138:Q138" si="57">IF(ISERROR(J154&lt;&gt;J155),0,(J154&lt;&gt;J155)*1)</f>
        <v>0</v>
      </c>
      <c r="K138" s="96">
        <f t="shared" si="57"/>
        <v>0</v>
      </c>
      <c r="L138" s="96">
        <f t="shared" si="57"/>
        <v>0</v>
      </c>
      <c r="M138" s="96">
        <f t="shared" ca="1" si="57"/>
        <v>0</v>
      </c>
      <c r="N138" s="96">
        <f t="shared" ca="1" si="57"/>
        <v>0</v>
      </c>
      <c r="O138" s="96">
        <f t="shared" ca="1" si="57"/>
        <v>0</v>
      </c>
      <c r="P138" s="96">
        <f t="shared" ca="1" si="57"/>
        <v>0</v>
      </c>
      <c r="Q138" s="96">
        <f t="shared" ca="1" si="57"/>
        <v>0</v>
      </c>
    </row>
    <row r="140" spans="4:17">
      <c r="D140" s="169" t="s">
        <v>423</v>
      </c>
    </row>
    <row r="142" spans="4:17">
      <c r="E142" s="5" t="str">
        <f>Fcast_TA!$E$92</f>
        <v>Determination Method:</v>
      </c>
      <c r="I142" s="5" t="str">
        <f>INDEX(LU_Eq_Ord_Div_Meth,DD_Eq_Ord_Div_Meth)</f>
        <v>% of NPAT</v>
      </c>
    </row>
    <row r="144" spans="4:17">
      <c r="E144" s="5" t="str">
        <f>Fcast_TA!$E$94</f>
        <v>Dividend Declaration Period?</v>
      </c>
      <c r="J144" s="252" t="str">
        <f>IF(J$12=0,"-",Fcast_TA!J94)</f>
        <v>-</v>
      </c>
      <c r="K144" s="252" t="str">
        <f>IF(K$12=0,"-",Fcast_TA!K94)</f>
        <v>-</v>
      </c>
      <c r="L144" s="252" t="str">
        <f>IF(L$12=0,"-",Fcast_TA!L94)</f>
        <v>-</v>
      </c>
      <c r="M144" s="252" t="str">
        <f>IF(M$12=0,"-",Fcast_TA!M94)</f>
        <v>Yes</v>
      </c>
      <c r="N144" s="252" t="str">
        <f>IF(N$12=0,"-",Fcast_TA!N94)</f>
        <v>Yes</v>
      </c>
      <c r="O144" s="252" t="str">
        <f>IF(O$12=0,"-",Fcast_TA!O94)</f>
        <v>Yes</v>
      </c>
      <c r="P144" s="252" t="str">
        <f>IF(P$12=0,"-",Fcast_TA!P94)</f>
        <v>Yes</v>
      </c>
      <c r="Q144" s="252" t="str">
        <f>IF(Q$12=0,"-",Fcast_TA!Q94)</f>
        <v>Yes</v>
      </c>
    </row>
    <row r="146" spans="2:17" s="25" customFormat="1">
      <c r="E146" s="147" t="s">
        <v>277</v>
      </c>
      <c r="J146" s="144">
        <f>BS_Fcast_TO!J61</f>
        <v>0</v>
      </c>
      <c r="K146" s="144">
        <f>BS_Fcast_TO!K61</f>
        <v>0</v>
      </c>
      <c r="L146" s="144">
        <f>BS_Fcast_TO!L61</f>
        <v>0</v>
      </c>
      <c r="M146" s="144">
        <f ca="1">BS_Fcast_TO!M61</f>
        <v>46.399527878852751</v>
      </c>
      <c r="N146" s="144">
        <f ca="1">BS_Fcast_TO!N61</f>
        <v>62.552852976509001</v>
      </c>
      <c r="O146" s="144">
        <f ca="1">BS_Fcast_TO!O61</f>
        <v>79.081573701606658</v>
      </c>
      <c r="P146" s="144">
        <f ca="1">BS_Fcast_TO!P61</f>
        <v>95.996496819831762</v>
      </c>
      <c r="Q146" s="144">
        <f ca="1">BS_Fcast_TO!Q61</f>
        <v>113.3655742660125</v>
      </c>
    </row>
    <row r="147" spans="2:17" s="25" customFormat="1">
      <c r="E147" s="147" t="s">
        <v>278</v>
      </c>
      <c r="J147" s="145">
        <f>IS_Fcast_TO!J39</f>
        <v>0</v>
      </c>
      <c r="K147" s="145">
        <f>IS_Fcast_TO!K39</f>
        <v>0</v>
      </c>
      <c r="L147" s="145">
        <f>IS_Fcast_TO!L39</f>
        <v>0</v>
      </c>
      <c r="M147" s="145">
        <f ca="1">IS_Fcast_TO!M39</f>
        <v>32.306650195312507</v>
      </c>
      <c r="N147" s="145">
        <f ca="1">IS_Fcast_TO!N39</f>
        <v>33.057441450195327</v>
      </c>
      <c r="O147" s="145">
        <f ca="1">IS_Fcast_TO!O39</f>
        <v>33.829846236450202</v>
      </c>
      <c r="P147" s="145">
        <f ca="1">IS_Fcast_TO!P39</f>
        <v>34.73815489236145</v>
      </c>
      <c r="Q147" s="145">
        <f ca="1">IS_Fcast_TO!Q39</f>
        <v>35.669171264670474</v>
      </c>
    </row>
    <row r="148" spans="2:17">
      <c r="E148" s="109" t="s">
        <v>281</v>
      </c>
      <c r="J148" s="98">
        <f t="shared" ref="J148:Q148" si="58">MAX(0,SUM(J146:J147))</f>
        <v>0</v>
      </c>
      <c r="K148" s="98">
        <f t="shared" si="58"/>
        <v>0</v>
      </c>
      <c r="L148" s="98">
        <f t="shared" si="58"/>
        <v>0</v>
      </c>
      <c r="M148" s="98">
        <f t="shared" ca="1" si="58"/>
        <v>78.706178074165251</v>
      </c>
      <c r="N148" s="98">
        <f t="shared" ca="1" si="58"/>
        <v>95.610294426704328</v>
      </c>
      <c r="O148" s="98">
        <f t="shared" ca="1" si="58"/>
        <v>112.91141993805687</v>
      </c>
      <c r="P148" s="98">
        <f t="shared" ca="1" si="58"/>
        <v>130.73465171219323</v>
      </c>
      <c r="Q148" s="98">
        <f t="shared" ca="1" si="58"/>
        <v>149.03474553068298</v>
      </c>
    </row>
    <row r="149" spans="2:17" s="25" customFormat="1">
      <c r="E149" s="147" t="s">
        <v>279</v>
      </c>
      <c r="J149" s="144">
        <f>BS_Fcast_TO!J20</f>
        <v>0</v>
      </c>
      <c r="K149" s="144">
        <f>BS_Fcast_TO!K20</f>
        <v>0</v>
      </c>
      <c r="L149" s="144">
        <f>BS_Fcast_TO!L20</f>
        <v>0</v>
      </c>
      <c r="M149" s="144">
        <f ca="1">BS_Fcast_TO!M20</f>
        <v>24.635307976188827</v>
      </c>
      <c r="N149" s="144">
        <f ca="1">BS_Fcast_TO!N20</f>
        <v>37.849752117669134</v>
      </c>
      <c r="O149" s="144">
        <f ca="1">BS_Fcast_TO!O20</f>
        <v>56.014020321295796</v>
      </c>
      <c r="P149" s="144">
        <f ca="1">BS_Fcast_TO!P20</f>
        <v>69.479098355013136</v>
      </c>
      <c r="Q149" s="144">
        <f ca="1">BS_Fcast_TO!Q20</f>
        <v>83.366715156101776</v>
      </c>
    </row>
    <row r="150" spans="2:17" s="25" customFormat="1">
      <c r="E150" s="147" t="s">
        <v>280</v>
      </c>
      <c r="J150" s="145">
        <f>CFS_Fcast_TO!J104</f>
        <v>0</v>
      </c>
      <c r="K150" s="145">
        <f>CFS_Fcast_TO!K104</f>
        <v>0</v>
      </c>
      <c r="L150" s="145">
        <f>CFS_Fcast_TO!L104</f>
        <v>0</v>
      </c>
      <c r="M150" s="145">
        <f ca="1">CFS_Fcast_TO!M104</f>
        <v>29.367769239136557</v>
      </c>
      <c r="N150" s="145">
        <f ca="1">CFS_Fcast_TO!N104</f>
        <v>34.692988928724326</v>
      </c>
      <c r="O150" s="145">
        <f ca="1">CFS_Fcast_TO!O104</f>
        <v>30.380001151942437</v>
      </c>
      <c r="P150" s="145">
        <f ca="1">CFS_Fcast_TO!P104</f>
        <v>31.256694247269365</v>
      </c>
      <c r="Q150" s="145">
        <f ca="1">CFS_Fcast_TO!Q104</f>
        <v>32.083671424981134</v>
      </c>
    </row>
    <row r="151" spans="2:17">
      <c r="E151" s="109" t="s">
        <v>282</v>
      </c>
      <c r="J151" s="98">
        <f t="shared" ref="J151:Q151" si="59">SUM(J149:J150)</f>
        <v>0</v>
      </c>
      <c r="K151" s="98">
        <f t="shared" si="59"/>
        <v>0</v>
      </c>
      <c r="L151" s="98">
        <f t="shared" si="59"/>
        <v>0</v>
      </c>
      <c r="M151" s="98">
        <f t="shared" ca="1" si="59"/>
        <v>54.003077215325384</v>
      </c>
      <c r="N151" s="98">
        <f t="shared" ca="1" si="59"/>
        <v>72.542741046393459</v>
      </c>
      <c r="O151" s="98">
        <f t="shared" ca="1" si="59"/>
        <v>86.39402147323824</v>
      </c>
      <c r="P151" s="98">
        <f t="shared" ca="1" si="59"/>
        <v>100.7357926022825</v>
      </c>
      <c r="Q151" s="98">
        <f t="shared" ca="1" si="59"/>
        <v>115.45038658108291</v>
      </c>
    </row>
    <row r="152" spans="2:17">
      <c r="E152" s="5" t="str">
        <f>Fcast_TA!E95</f>
        <v>Dividend Payout Ratio - % of NPAT</v>
      </c>
      <c r="J152" s="101">
        <f>IF(OR(J144&lt;&gt;"Yes",DD_Eq_Ord_Div_Meth&lt;&gt;1),0,Fcast_TA!J95)</f>
        <v>0</v>
      </c>
      <c r="K152" s="101">
        <f>IF(OR(K144&lt;&gt;"Yes",DD_Eq_Ord_Div_Meth&lt;&gt;1),0,Fcast_TA!K95)</f>
        <v>0</v>
      </c>
      <c r="L152" s="101">
        <f>IF(OR(L144&lt;&gt;"Yes",DD_Eq_Ord_Div_Meth&lt;&gt;1),0,Fcast_TA!L95)</f>
        <v>0</v>
      </c>
      <c r="M152" s="101">
        <f>IF(OR(M144&lt;&gt;"Yes",DD_Eq_Ord_Div_Meth&lt;&gt;1),0,Fcast_TA!M95)</f>
        <v>0.5</v>
      </c>
      <c r="N152" s="101">
        <f>IF(OR(N144&lt;&gt;"Yes",DD_Eq_Ord_Div_Meth&lt;&gt;1),0,Fcast_TA!N95)</f>
        <v>0.5</v>
      </c>
      <c r="O152" s="101">
        <f>IF(OR(O144&lt;&gt;"Yes",DD_Eq_Ord_Div_Meth&lt;&gt;1),0,Fcast_TA!O95)</f>
        <v>0.5</v>
      </c>
      <c r="P152" s="101">
        <f>IF(OR(P144&lt;&gt;"Yes",DD_Eq_Ord_Div_Meth&lt;&gt;1),0,Fcast_TA!P95)</f>
        <v>0.5</v>
      </c>
      <c r="Q152" s="101">
        <f>IF(OR(Q144&lt;&gt;"Yes",DD_Eq_Ord_Div_Meth&lt;&gt;1),0,Fcast_TA!Q95)</f>
        <v>0.5</v>
      </c>
    </row>
    <row r="153" spans="2:17">
      <c r="E153" s="5" t="str">
        <f>Fcast_TA!E96</f>
        <v>Assumed Dividends - Not Applied</v>
      </c>
      <c r="J153" s="124">
        <f>IF(OR(J144&lt;&gt;"Yes",DD_Eq_Ord_Div_Meth&lt;&gt;2),0,Fcast_TA!J96)</f>
        <v>0</v>
      </c>
      <c r="K153" s="124">
        <f>IF(OR(K144&lt;&gt;"Yes",DD_Eq_Ord_Div_Meth&lt;&gt;2),0,Fcast_TA!K96)</f>
        <v>0</v>
      </c>
      <c r="L153" s="124">
        <f>IF(OR(L144&lt;&gt;"Yes",DD_Eq_Ord_Div_Meth&lt;&gt;2),0,Fcast_TA!L96)</f>
        <v>0</v>
      </c>
      <c r="M153" s="124">
        <f>IF(OR(M144&lt;&gt;"Yes",DD_Eq_Ord_Div_Meth&lt;&gt;2),0,Fcast_TA!M96)</f>
        <v>0</v>
      </c>
      <c r="N153" s="124">
        <f>IF(OR(N144&lt;&gt;"Yes",DD_Eq_Ord_Div_Meth&lt;&gt;2),0,Fcast_TA!N96)</f>
        <v>0</v>
      </c>
      <c r="O153" s="124">
        <f>IF(OR(O144&lt;&gt;"Yes",DD_Eq_Ord_Div_Meth&lt;&gt;2),0,Fcast_TA!O96)</f>
        <v>0</v>
      </c>
      <c r="P153" s="124">
        <f>IF(OR(P144&lt;&gt;"Yes",DD_Eq_Ord_Div_Meth&lt;&gt;2),0,Fcast_TA!P96)</f>
        <v>0</v>
      </c>
      <c r="Q153" s="124">
        <f>IF(OR(Q144&lt;&gt;"Yes",DD_Eq_Ord_Div_Meth&lt;&gt;2),0,Fcast_TA!Q96)</f>
        <v>0</v>
      </c>
    </row>
    <row r="154" spans="2:17">
      <c r="E154" s="108" t="s">
        <v>283</v>
      </c>
      <c r="J154" s="146">
        <f t="shared" ref="J154:Q154" si="60">IF(J144&lt;&gt;"Yes",0,IF(DD_Eq_Ord_Div_Meth=1,J152*IF(CB_Eq_Ord_Inc_Open_RP_In_NPAT,J148,J147),J153))</f>
        <v>0</v>
      </c>
      <c r="K154" s="146">
        <f t="shared" si="60"/>
        <v>0</v>
      </c>
      <c r="L154" s="146">
        <f t="shared" si="60"/>
        <v>0</v>
      </c>
      <c r="M154" s="146">
        <f t="shared" ca="1" si="60"/>
        <v>16.153325097656253</v>
      </c>
      <c r="N154" s="146">
        <f t="shared" ca="1" si="60"/>
        <v>16.528720725097664</v>
      </c>
      <c r="O154" s="146">
        <f t="shared" ca="1" si="60"/>
        <v>16.914923118225101</v>
      </c>
      <c r="P154" s="146">
        <f t="shared" ca="1" si="60"/>
        <v>17.369077446180725</v>
      </c>
      <c r="Q154" s="146">
        <f t="shared" ca="1" si="60"/>
        <v>17.834585632335237</v>
      </c>
    </row>
    <row r="155" spans="2:17">
      <c r="E155" s="109" t="s">
        <v>284</v>
      </c>
      <c r="J155" s="98">
        <f t="shared" ref="J155:Q155" si="61">IF(CB_Eq_Ord_Cash_Limit_Div,MAX(0,MIN(J148,J151,J154)),MAX(0,MIN(J148,J154)))</f>
        <v>0</v>
      </c>
      <c r="K155" s="98">
        <f t="shared" si="61"/>
        <v>0</v>
      </c>
      <c r="L155" s="98">
        <f t="shared" si="61"/>
        <v>0</v>
      </c>
      <c r="M155" s="98">
        <f t="shared" ca="1" si="61"/>
        <v>16.153325097656253</v>
      </c>
      <c r="N155" s="98">
        <f t="shared" ca="1" si="61"/>
        <v>16.528720725097664</v>
      </c>
      <c r="O155" s="98">
        <f t="shared" ca="1" si="61"/>
        <v>16.914923118225101</v>
      </c>
      <c r="P155" s="98">
        <f t="shared" ca="1" si="61"/>
        <v>17.369077446180725</v>
      </c>
      <c r="Q155" s="98">
        <f t="shared" ca="1" si="61"/>
        <v>17.834585632335237</v>
      </c>
    </row>
    <row r="158" spans="2:17" ht="12.75">
      <c r="B158" s="120" t="s">
        <v>418</v>
      </c>
    </row>
    <row r="160" spans="2:17" s="16" customFormat="1" ht="12.75">
      <c r="B160" s="120"/>
      <c r="C160" s="126" t="str">
        <f>"Tax Expense ("&amp;INDEX(LU_Denom,DD_TS_Denom)&amp;")"</f>
        <v>Tax Expense ($Millions)</v>
      </c>
    </row>
    <row r="162" spans="3:17">
      <c r="D162" s="5" t="str">
        <f>C18</f>
        <v>Revenue</v>
      </c>
      <c r="J162" s="95">
        <f t="shared" ref="J162:Q162" si="62">J18</f>
        <v>0</v>
      </c>
      <c r="K162" s="95">
        <f t="shared" si="62"/>
        <v>0</v>
      </c>
      <c r="L162" s="95">
        <f t="shared" si="62"/>
        <v>0</v>
      </c>
      <c r="M162" s="95">
        <f t="shared" si="62"/>
        <v>134.611328125</v>
      </c>
      <c r="N162" s="95">
        <f t="shared" si="62"/>
        <v>137.97661132812499</v>
      </c>
      <c r="O162" s="95">
        <f t="shared" si="62"/>
        <v>141.4260266113281</v>
      </c>
      <c r="P162" s="95">
        <f t="shared" si="62"/>
        <v>144.96167727661128</v>
      </c>
      <c r="Q162" s="95">
        <f t="shared" si="62"/>
        <v>148.58571920852654</v>
      </c>
    </row>
    <row r="163" spans="3:17" s="16" customFormat="1">
      <c r="D163" s="5" t="str">
        <f>C19</f>
        <v>Cost of Goods Sold</v>
      </c>
      <c r="J163" s="95">
        <f t="shared" ref="J163:Q164" si="63">-J19</f>
        <v>0</v>
      </c>
      <c r="K163" s="95">
        <f t="shared" si="63"/>
        <v>0</v>
      </c>
      <c r="L163" s="95">
        <f t="shared" si="63"/>
        <v>0</v>
      </c>
      <c r="M163" s="95">
        <f t="shared" si="63"/>
        <v>-26.922265624999991</v>
      </c>
      <c r="N163" s="95">
        <f t="shared" si="63"/>
        <v>-27.59532226562499</v>
      </c>
      <c r="O163" s="95">
        <f t="shared" si="63"/>
        <v>-28.285205322265611</v>
      </c>
      <c r="P163" s="95">
        <f t="shared" si="63"/>
        <v>-28.992335455322248</v>
      </c>
      <c r="Q163" s="95">
        <f t="shared" si="63"/>
        <v>-29.717143841705301</v>
      </c>
    </row>
    <row r="164" spans="3:17" s="16" customFormat="1">
      <c r="D164" s="5" t="str">
        <f>C20</f>
        <v>Operating Expenditure</v>
      </c>
      <c r="J164" s="95">
        <f t="shared" si="63"/>
        <v>0</v>
      </c>
      <c r="K164" s="95">
        <f t="shared" si="63"/>
        <v>0</v>
      </c>
      <c r="L164" s="95">
        <f t="shared" si="63"/>
        <v>0</v>
      </c>
      <c r="M164" s="95">
        <f t="shared" si="63"/>
        <v>-43.075624999999995</v>
      </c>
      <c r="N164" s="95">
        <f t="shared" si="63"/>
        <v>-44.152515624999992</v>
      </c>
      <c r="O164" s="95">
        <f t="shared" si="63"/>
        <v>-45.256328515624986</v>
      </c>
      <c r="P164" s="95">
        <f t="shared" si="63"/>
        <v>-46.387736728515605</v>
      </c>
      <c r="Q164" s="95">
        <f t="shared" si="63"/>
        <v>-47.547430146728495</v>
      </c>
    </row>
    <row r="165" spans="3:17">
      <c r="D165" s="5" t="str">
        <f>D69</f>
        <v>Depreciation</v>
      </c>
      <c r="J165" s="95">
        <f t="shared" ref="J165:Q165" si="64">J69</f>
        <v>0</v>
      </c>
      <c r="K165" s="95">
        <f t="shared" si="64"/>
        <v>0</v>
      </c>
      <c r="L165" s="95">
        <f t="shared" si="64"/>
        <v>0</v>
      </c>
      <c r="M165" s="95">
        <f t="shared" si="64"/>
        <v>-14.538023437499994</v>
      </c>
      <c r="N165" s="95">
        <f t="shared" si="64"/>
        <v>-14.901474023437492</v>
      </c>
      <c r="O165" s="95">
        <f t="shared" si="64"/>
        <v>-15.274010874023428</v>
      </c>
      <c r="P165" s="95">
        <f t="shared" si="64"/>
        <v>-15.655861145874013</v>
      </c>
      <c r="Q165" s="95">
        <f t="shared" si="64"/>
        <v>-16.047257674520861</v>
      </c>
    </row>
    <row r="166" spans="3:17" s="16" customFormat="1">
      <c r="D166" s="5" t="str">
        <f>D81</f>
        <v>Amortization</v>
      </c>
      <c r="J166" s="95">
        <f t="shared" ref="J166:Q166" si="65">J81</f>
        <v>0</v>
      </c>
      <c r="K166" s="95">
        <f t="shared" si="65"/>
        <v>0</v>
      </c>
      <c r="L166" s="95">
        <f t="shared" si="65"/>
        <v>0</v>
      </c>
      <c r="M166" s="95">
        <f t="shared" si="65"/>
        <v>-0.67305664062499992</v>
      </c>
      <c r="N166" s="95">
        <f t="shared" si="65"/>
        <v>-0.68988305664062488</v>
      </c>
      <c r="O166" s="95">
        <f t="shared" si="65"/>
        <v>-0.70713013305664041</v>
      </c>
      <c r="P166" s="95">
        <f t="shared" si="65"/>
        <v>-0.72480838638305634</v>
      </c>
      <c r="Q166" s="95">
        <f t="shared" si="65"/>
        <v>-0.74292859604263273</v>
      </c>
    </row>
    <row r="167" spans="3:17">
      <c r="D167" s="5" t="str">
        <f>E110</f>
        <v>Interest Expense</v>
      </c>
      <c r="E167" s="5"/>
      <c r="J167" s="95">
        <f t="shared" ref="J167:Q167" si="66">-J110</f>
        <v>0</v>
      </c>
      <c r="K167" s="95">
        <f t="shared" si="66"/>
        <v>0</v>
      </c>
      <c r="L167" s="95">
        <f t="shared" si="66"/>
        <v>0</v>
      </c>
      <c r="M167" s="95">
        <f t="shared" ca="1" si="66"/>
        <v>-3.25</v>
      </c>
      <c r="N167" s="95">
        <f t="shared" ca="1" si="66"/>
        <v>-3.4125000000000001</v>
      </c>
      <c r="O167" s="95">
        <f t="shared" ca="1" si="66"/>
        <v>-3.5750000000000002</v>
      </c>
      <c r="P167" s="95">
        <f t="shared" ca="1" si="66"/>
        <v>-3.5750000000000002</v>
      </c>
      <c r="Q167" s="95">
        <f t="shared" ca="1" si="66"/>
        <v>-3.5750000000000002</v>
      </c>
    </row>
    <row r="168" spans="3:17">
      <c r="D168" s="109" t="s">
        <v>5</v>
      </c>
      <c r="J168" s="128">
        <f t="shared" ref="J168:Q168" si="67">SUM(J162:J167)</f>
        <v>0</v>
      </c>
      <c r="K168" s="128">
        <f t="shared" si="67"/>
        <v>0</v>
      </c>
      <c r="L168" s="128">
        <f t="shared" si="67"/>
        <v>0</v>
      </c>
      <c r="M168" s="128">
        <f t="shared" ca="1" si="67"/>
        <v>46.15235742187501</v>
      </c>
      <c r="N168" s="128">
        <f t="shared" ca="1" si="67"/>
        <v>47.22491635742189</v>
      </c>
      <c r="O168" s="128">
        <f t="shared" ca="1" si="67"/>
        <v>48.328351766357429</v>
      </c>
      <c r="P168" s="128">
        <f t="shared" ca="1" si="67"/>
        <v>49.625935560516361</v>
      </c>
      <c r="Q168" s="128">
        <f t="shared" ca="1" si="67"/>
        <v>50.955958949529247</v>
      </c>
    </row>
    <row r="169" spans="3:17">
      <c r="J169" s="95"/>
      <c r="K169" s="95"/>
      <c r="L169" s="95"/>
      <c r="M169" s="95"/>
      <c r="N169" s="95"/>
      <c r="O169" s="95"/>
      <c r="P169" s="95"/>
      <c r="Q169" s="95"/>
    </row>
    <row r="170" spans="3:17">
      <c r="D170" s="109" t="s">
        <v>6</v>
      </c>
      <c r="J170" s="141">
        <f t="shared" ref="J170:Q170" si="68">J168</f>
        <v>0</v>
      </c>
      <c r="K170" s="141">
        <f t="shared" si="68"/>
        <v>0</v>
      </c>
      <c r="L170" s="141">
        <f t="shared" si="68"/>
        <v>0</v>
      </c>
      <c r="M170" s="141">
        <f t="shared" ca="1" si="68"/>
        <v>46.15235742187501</v>
      </c>
      <c r="N170" s="141">
        <f t="shared" ca="1" si="68"/>
        <v>47.22491635742189</v>
      </c>
      <c r="O170" s="141">
        <f t="shared" ca="1" si="68"/>
        <v>48.328351766357429</v>
      </c>
      <c r="P170" s="141">
        <f t="shared" ca="1" si="68"/>
        <v>49.625935560516361</v>
      </c>
      <c r="Q170" s="141">
        <f t="shared" ca="1" si="68"/>
        <v>50.955958949529247</v>
      </c>
    </row>
    <row r="172" spans="3:17">
      <c r="D172" s="5" t="str">
        <f>Fcast_TA!D114</f>
        <v>Corporate Taxation Rate</v>
      </c>
      <c r="J172" s="119">
        <f>IF(J$12=0,0,Fcast_TA!$I$114)</f>
        <v>0</v>
      </c>
      <c r="K172" s="119">
        <f>IF(K$12=0,0,Fcast_TA!$I$114)</f>
        <v>0</v>
      </c>
      <c r="L172" s="119">
        <f>IF(L$12=0,0,Fcast_TA!$I$114)</f>
        <v>0</v>
      </c>
      <c r="M172" s="119">
        <f>IF(M$12=0,0,Fcast_TA!$I$114)</f>
        <v>0.3</v>
      </c>
      <c r="N172" s="119">
        <f>IF(N$12=0,0,Fcast_TA!$I$114)</f>
        <v>0.3</v>
      </c>
      <c r="O172" s="119">
        <f>IF(O$12=0,0,Fcast_TA!$I$114)</f>
        <v>0.3</v>
      </c>
      <c r="P172" s="119">
        <f>IF(P$12=0,0,Fcast_TA!$I$114)</f>
        <v>0.3</v>
      </c>
      <c r="Q172" s="119">
        <f>IF(Q$12=0,0,Fcast_TA!$I$114)</f>
        <v>0.3</v>
      </c>
    </row>
    <row r="174" spans="3:17" ht="11.25" thickBot="1">
      <c r="D174" s="109" t="s">
        <v>7</v>
      </c>
      <c r="J174" s="140">
        <f t="shared" ref="J174:Q174" si="69">J170*J172</f>
        <v>0</v>
      </c>
      <c r="K174" s="140">
        <f t="shared" si="69"/>
        <v>0</v>
      </c>
      <c r="L174" s="140">
        <f t="shared" si="69"/>
        <v>0</v>
      </c>
      <c r="M174" s="140">
        <f t="shared" ca="1" si="69"/>
        <v>13.845707226562503</v>
      </c>
      <c r="N174" s="140">
        <f t="shared" ca="1" si="69"/>
        <v>14.167474907226566</v>
      </c>
      <c r="O174" s="140">
        <f t="shared" ca="1" si="69"/>
        <v>14.498505529907227</v>
      </c>
      <c r="P174" s="140">
        <f t="shared" ca="1" si="69"/>
        <v>14.887780668154907</v>
      </c>
      <c r="Q174" s="140">
        <f t="shared" ca="1" si="69"/>
        <v>15.286787684858773</v>
      </c>
    </row>
    <row r="175" spans="3:17" ht="11.25" thickTop="1"/>
    <row r="176" spans="3:17" ht="11.25">
      <c r="C176" s="94" t="s">
        <v>490</v>
      </c>
    </row>
    <row r="178" spans="2:17">
      <c r="D178" s="168" t="s">
        <v>245</v>
      </c>
      <c r="J178" s="95">
        <f>IF(J$12=0,0,IF(J$12=TS_Data_Full_Pers+1,Fcast_TA!$I$110,I181))</f>
        <v>0</v>
      </c>
      <c r="K178" s="95">
        <f>IF(K$12=0,0,IF(K$12=TS_Data_Full_Pers+1,Fcast_TA!$I$110,J181))</f>
        <v>0</v>
      </c>
      <c r="L178" s="95">
        <f>IF(L$12=0,0,IF(L$12=TS_Data_Full_Pers+1,Fcast_TA!$I$110,K181))</f>
        <v>0</v>
      </c>
      <c r="M178" s="95">
        <f ca="1">IF(M$12=0,0,IF(M$12=TS_Data_Full_Pers+1,Fcast_TA!$I$110,L181))</f>
        <v>13.484226562500004</v>
      </c>
      <c r="N178" s="95">
        <f ca="1">IF(N$12=0,0,IF(N$12=TS_Data_Full_Pers+1,Fcast_TA!$I$110,M181))</f>
        <v>13.845707226562505</v>
      </c>
      <c r="O178" s="95">
        <f ca="1">IF(O$12=0,0,IF(O$12=TS_Data_Full_Pers+1,Fcast_TA!$I$110,N181))</f>
        <v>14.16747490722657</v>
      </c>
      <c r="P178" s="95">
        <f ca="1">IF(P$12=0,0,IF(P$12=TS_Data_Full_Pers+1,Fcast_TA!$I$110,O181))</f>
        <v>14.498505529907231</v>
      </c>
      <c r="Q178" s="95">
        <f ca="1">IF(Q$12=0,0,IF(Q$12=TS_Data_Full_Pers+1,Fcast_TA!$I$110,P181))</f>
        <v>14.88778066815491</v>
      </c>
    </row>
    <row r="179" spans="2:17">
      <c r="D179" s="5" t="str">
        <f>D174</f>
        <v>Tax Expense / (Benefit)</v>
      </c>
      <c r="J179" s="95">
        <f t="shared" ref="J179:Q179" si="70">J174</f>
        <v>0</v>
      </c>
      <c r="K179" s="95">
        <f t="shared" si="70"/>
        <v>0</v>
      </c>
      <c r="L179" s="95">
        <f t="shared" si="70"/>
        <v>0</v>
      </c>
      <c r="M179" s="95">
        <f t="shared" ca="1" si="70"/>
        <v>13.845707226562503</v>
      </c>
      <c r="N179" s="95">
        <f t="shared" ca="1" si="70"/>
        <v>14.167474907226566</v>
      </c>
      <c r="O179" s="95">
        <f t="shared" ca="1" si="70"/>
        <v>14.498505529907227</v>
      </c>
      <c r="P179" s="95">
        <f t="shared" ca="1" si="70"/>
        <v>14.887780668154907</v>
      </c>
      <c r="Q179" s="95">
        <f t="shared" ca="1" si="70"/>
        <v>15.286787684858773</v>
      </c>
    </row>
    <row r="180" spans="2:17">
      <c r="D180" s="168" t="s">
        <v>477</v>
      </c>
      <c r="J180" s="97">
        <f t="shared" ref="J180:Q180" si="71">IF(J$12=TS_Data_Full_Pers+1,-J178,-I179)</f>
        <v>0</v>
      </c>
      <c r="K180" s="97">
        <f t="shared" si="71"/>
        <v>0</v>
      </c>
      <c r="L180" s="97">
        <f t="shared" si="71"/>
        <v>0</v>
      </c>
      <c r="M180" s="97">
        <f t="shared" ca="1" si="71"/>
        <v>-13.484226562500004</v>
      </c>
      <c r="N180" s="97">
        <f t="shared" ca="1" si="71"/>
        <v>-13.845707226562503</v>
      </c>
      <c r="O180" s="97">
        <f t="shared" ca="1" si="71"/>
        <v>-14.167474907226566</v>
      </c>
      <c r="P180" s="97">
        <f t="shared" ca="1" si="71"/>
        <v>-14.498505529907227</v>
      </c>
      <c r="Q180" s="97">
        <f t="shared" ca="1" si="71"/>
        <v>-14.887780668154907</v>
      </c>
    </row>
    <row r="181" spans="2:17">
      <c r="D181" s="169" t="s">
        <v>410</v>
      </c>
      <c r="J181" s="98">
        <f t="shared" ref="J181:Q181" si="72">SUM(J178:J180)</f>
        <v>0</v>
      </c>
      <c r="K181" s="98">
        <f t="shared" si="72"/>
        <v>0</v>
      </c>
      <c r="L181" s="98">
        <f t="shared" si="72"/>
        <v>0</v>
      </c>
      <c r="M181" s="98">
        <f t="shared" ca="1" si="72"/>
        <v>13.845707226562505</v>
      </c>
      <c r="N181" s="98">
        <f t="shared" ca="1" si="72"/>
        <v>14.16747490722657</v>
      </c>
      <c r="O181" s="98">
        <f t="shared" ca="1" si="72"/>
        <v>14.498505529907231</v>
      </c>
      <c r="P181" s="98">
        <f t="shared" ca="1" si="72"/>
        <v>14.88778066815491</v>
      </c>
      <c r="Q181" s="98">
        <f t="shared" ca="1" si="72"/>
        <v>15.286787684858776</v>
      </c>
    </row>
    <row r="184" spans="2:17" ht="12.75">
      <c r="B184" s="120" t="s">
        <v>491</v>
      </c>
    </row>
    <row r="186" spans="2:17" ht="11.25">
      <c r="C186" s="126" t="str">
        <f>Fcast_TA!D135&amp;" ("&amp;INDEX(LU_Denom,DD_TS_Denom)&amp;")"</f>
        <v>Other Current Assets ($Millions)</v>
      </c>
    </row>
    <row r="188" spans="2:17">
      <c r="D188" s="168" t="s">
        <v>245</v>
      </c>
      <c r="J188" s="95">
        <f>IF(J$12=0,0,IF(J$12=TS_Data_Full_Pers+1,Fcast_TA!$I$135,I190))</f>
        <v>0</v>
      </c>
      <c r="K188" s="95">
        <f>IF(K$12=0,0,IF(K$12=TS_Data_Full_Pers+1,Fcast_TA!$I$135,J190))</f>
        <v>0</v>
      </c>
      <c r="L188" s="95">
        <f>IF(L$12=0,0,IF(L$12=TS_Data_Full_Pers+1,Fcast_TA!$I$135,K190))</f>
        <v>0</v>
      </c>
      <c r="M188" s="95">
        <f ca="1">IF(M$12=0,0,IF(M$12=TS_Data_Full_Pers+1,Fcast_TA!$I$135,L190))</f>
        <v>5</v>
      </c>
      <c r="N188" s="95">
        <f>IF(N$12=0,0,IF(N$12=TS_Data_Full_Pers+1,Fcast_TA!$I$135,M190))</f>
        <v>6</v>
      </c>
      <c r="O188" s="95">
        <f>IF(O$12=0,0,IF(O$12=TS_Data_Full_Pers+1,Fcast_TA!$I$135,N190))</f>
        <v>7</v>
      </c>
      <c r="P188" s="95">
        <f>IF(P$12=0,0,IF(P$12=TS_Data_Full_Pers+1,Fcast_TA!$I$135,O190))</f>
        <v>8</v>
      </c>
      <c r="Q188" s="95">
        <f>IF(Q$12=0,0,IF(Q$12=TS_Data_Full_Pers+1,Fcast_TA!$I$135,P190))</f>
        <v>9</v>
      </c>
    </row>
    <row r="189" spans="2:17">
      <c r="D189" s="168" t="s">
        <v>492</v>
      </c>
      <c r="J189" s="97">
        <f>J190-J188</f>
        <v>0</v>
      </c>
      <c r="K189" s="97">
        <f t="shared" ref="K189:Q189" si="73">K190-K188</f>
        <v>0</v>
      </c>
      <c r="L189" s="97">
        <f t="shared" si="73"/>
        <v>0</v>
      </c>
      <c r="M189" s="97">
        <f t="shared" ca="1" si="73"/>
        <v>1</v>
      </c>
      <c r="N189" s="97">
        <f t="shared" si="73"/>
        <v>1</v>
      </c>
      <c r="O189" s="97">
        <f t="shared" si="73"/>
        <v>1</v>
      </c>
      <c r="P189" s="97">
        <f t="shared" si="73"/>
        <v>1</v>
      </c>
      <c r="Q189" s="97">
        <f t="shared" si="73"/>
        <v>1</v>
      </c>
    </row>
    <row r="190" spans="2:17">
      <c r="D190" s="169" t="s">
        <v>410</v>
      </c>
      <c r="J190" s="98">
        <f>IF(J$12=0,0,Fcast_TA!J135)</f>
        <v>0</v>
      </c>
      <c r="K190" s="98">
        <f>IF(K$12=0,0,Fcast_TA!K135)</f>
        <v>0</v>
      </c>
      <c r="L190" s="98">
        <f>IF(L$12=0,0,Fcast_TA!L135)</f>
        <v>0</v>
      </c>
      <c r="M190" s="98">
        <f>IF(M$12=0,0,Fcast_TA!M135)</f>
        <v>6</v>
      </c>
      <c r="N190" s="98">
        <f>IF(N$12=0,0,Fcast_TA!N135)</f>
        <v>7</v>
      </c>
      <c r="O190" s="98">
        <f>IF(O$12=0,0,Fcast_TA!O135)</f>
        <v>8</v>
      </c>
      <c r="P190" s="98">
        <f>IF(P$12=0,0,Fcast_TA!P135)</f>
        <v>9</v>
      </c>
      <c r="Q190" s="98">
        <f>IF(Q$12=0,0,Fcast_TA!Q135)</f>
        <v>10</v>
      </c>
    </row>
    <row r="191" spans="2:17">
      <c r="K191" s="16"/>
      <c r="L191" s="16"/>
      <c r="M191" s="16"/>
      <c r="N191" s="16"/>
      <c r="O191" s="16"/>
      <c r="P191" s="16"/>
      <c r="Q191" s="16"/>
    </row>
    <row r="192" spans="2:17" s="16" customFormat="1" ht="11.25">
      <c r="C192" s="126" t="str">
        <f>Fcast_TA!D136&amp;" ("&amp;INDEX(LU_Denom,DD_TS_Denom)&amp;")"</f>
        <v>Other Non-Current Assets ($Millions)</v>
      </c>
    </row>
    <row r="193" spans="3:17" s="16" customFormat="1"/>
    <row r="194" spans="3:17" s="16" customFormat="1">
      <c r="D194" s="168" t="s">
        <v>245</v>
      </c>
      <c r="J194" s="95">
        <f>IF(J$12=0,0,IF(J$12=TS_Data_Full_Pers+1,Fcast_TA!$I$136,I196))</f>
        <v>0</v>
      </c>
      <c r="K194" s="95">
        <f>IF(K$12=0,0,IF(K$12=TS_Data_Full_Pers+1,Fcast_TA!$I$136,J196))</f>
        <v>0</v>
      </c>
      <c r="L194" s="95">
        <f>IF(L$12=0,0,IF(L$12=TS_Data_Full_Pers+1,Fcast_TA!$I$136,K196))</f>
        <v>0</v>
      </c>
      <c r="M194" s="95">
        <f ca="1">IF(M$12=0,0,IF(M$12=TS_Data_Full_Pers+1,Fcast_TA!$I$136,L196))</f>
        <v>6</v>
      </c>
      <c r="N194" s="95">
        <f>IF(N$12=0,0,IF(N$12=TS_Data_Full_Pers+1,Fcast_TA!$I$136,M196))</f>
        <v>7</v>
      </c>
      <c r="O194" s="95">
        <f>IF(O$12=0,0,IF(O$12=TS_Data_Full_Pers+1,Fcast_TA!$I$136,N196))</f>
        <v>8</v>
      </c>
      <c r="P194" s="95">
        <f>IF(P$12=0,0,IF(P$12=TS_Data_Full_Pers+1,Fcast_TA!$I$136,O196))</f>
        <v>9</v>
      </c>
      <c r="Q194" s="95">
        <f>IF(Q$12=0,0,IF(Q$12=TS_Data_Full_Pers+1,Fcast_TA!$I$136,P196))</f>
        <v>10</v>
      </c>
    </row>
    <row r="195" spans="3:17" s="16" customFormat="1">
      <c r="D195" s="168" t="s">
        <v>492</v>
      </c>
      <c r="J195" s="97">
        <f>J196-J194</f>
        <v>0</v>
      </c>
      <c r="K195" s="97">
        <f t="shared" ref="K195:Q195" si="74">K196-K194</f>
        <v>0</v>
      </c>
      <c r="L195" s="97">
        <f t="shared" si="74"/>
        <v>0</v>
      </c>
      <c r="M195" s="97">
        <f t="shared" ca="1" si="74"/>
        <v>1</v>
      </c>
      <c r="N195" s="97">
        <f t="shared" si="74"/>
        <v>1</v>
      </c>
      <c r="O195" s="97">
        <f t="shared" si="74"/>
        <v>1</v>
      </c>
      <c r="P195" s="97">
        <f t="shared" si="74"/>
        <v>1</v>
      </c>
      <c r="Q195" s="97">
        <f t="shared" si="74"/>
        <v>1</v>
      </c>
    </row>
    <row r="196" spans="3:17" s="16" customFormat="1">
      <c r="D196" s="169" t="s">
        <v>410</v>
      </c>
      <c r="J196" s="98">
        <f>IF(J$12=0,0,Fcast_TA!J136)</f>
        <v>0</v>
      </c>
      <c r="K196" s="98">
        <f>IF(K$12=0,0,Fcast_TA!K136)</f>
        <v>0</v>
      </c>
      <c r="L196" s="98">
        <f>IF(L$12=0,0,Fcast_TA!L136)</f>
        <v>0</v>
      </c>
      <c r="M196" s="98">
        <f>IF(M$12=0,0,Fcast_TA!M136)</f>
        <v>7</v>
      </c>
      <c r="N196" s="98">
        <f>IF(N$12=0,0,Fcast_TA!N136)</f>
        <v>8</v>
      </c>
      <c r="O196" s="98">
        <f>IF(O$12=0,0,Fcast_TA!O136)</f>
        <v>9</v>
      </c>
      <c r="P196" s="98">
        <f>IF(P$12=0,0,Fcast_TA!P136)</f>
        <v>10</v>
      </c>
      <c r="Q196" s="98">
        <f>IF(Q$12=0,0,Fcast_TA!Q136)</f>
        <v>11</v>
      </c>
    </row>
    <row r="197" spans="3:17">
      <c r="K197" s="16"/>
      <c r="L197" s="16"/>
      <c r="M197" s="16"/>
      <c r="N197" s="16"/>
      <c r="O197" s="16"/>
      <c r="P197" s="16"/>
      <c r="Q197" s="16"/>
    </row>
    <row r="198" spans="3:17" s="16" customFormat="1" ht="11.25">
      <c r="C198" s="126" t="str">
        <f>Fcast_TA!D137&amp;" ("&amp;INDEX(LU_Denom,DD_TS_Denom)&amp;")"</f>
        <v>Other Current Liabilities ($Millions)</v>
      </c>
    </row>
    <row r="199" spans="3:17" s="16" customFormat="1"/>
    <row r="200" spans="3:17" s="16" customFormat="1">
      <c r="D200" s="168" t="s">
        <v>245</v>
      </c>
      <c r="J200" s="95">
        <f>IF(J$12=0,0,IF(J$12=TS_Data_Full_Pers+1,Fcast_TA!$I$137,I202))</f>
        <v>0</v>
      </c>
      <c r="K200" s="95">
        <f>IF(K$12=0,0,IF(K$12=TS_Data_Full_Pers+1,Fcast_TA!$I$137,J202))</f>
        <v>0</v>
      </c>
      <c r="L200" s="95">
        <f>IF(L$12=0,0,IF(L$12=TS_Data_Full_Pers+1,Fcast_TA!$I$137,K202))</f>
        <v>0</v>
      </c>
      <c r="M200" s="95">
        <f ca="1">IF(M$12=0,0,IF(M$12=TS_Data_Full_Pers+1,Fcast_TA!$I$137,L202))</f>
        <v>7</v>
      </c>
      <c r="N200" s="95">
        <f>IF(N$12=0,0,IF(N$12=TS_Data_Full_Pers+1,Fcast_TA!$I$137,M202))</f>
        <v>8</v>
      </c>
      <c r="O200" s="95">
        <f>IF(O$12=0,0,IF(O$12=TS_Data_Full_Pers+1,Fcast_TA!$I$137,N202))</f>
        <v>9</v>
      </c>
      <c r="P200" s="95">
        <f>IF(P$12=0,0,IF(P$12=TS_Data_Full_Pers+1,Fcast_TA!$I$137,O202))</f>
        <v>10</v>
      </c>
      <c r="Q200" s="95">
        <f>IF(Q$12=0,0,IF(Q$12=TS_Data_Full_Pers+1,Fcast_TA!$I$137,P202))</f>
        <v>11</v>
      </c>
    </row>
    <row r="201" spans="3:17" s="16" customFormat="1">
      <c r="D201" s="168" t="s">
        <v>492</v>
      </c>
      <c r="J201" s="97">
        <f>J202-J200</f>
        <v>0</v>
      </c>
      <c r="K201" s="97">
        <f t="shared" ref="K201:Q201" si="75">K202-K200</f>
        <v>0</v>
      </c>
      <c r="L201" s="97">
        <f t="shared" si="75"/>
        <v>0</v>
      </c>
      <c r="M201" s="97">
        <f t="shared" ca="1" si="75"/>
        <v>1</v>
      </c>
      <c r="N201" s="97">
        <f t="shared" si="75"/>
        <v>1</v>
      </c>
      <c r="O201" s="97">
        <f t="shared" si="75"/>
        <v>1</v>
      </c>
      <c r="P201" s="97">
        <f t="shared" si="75"/>
        <v>1</v>
      </c>
      <c r="Q201" s="97">
        <f t="shared" si="75"/>
        <v>1</v>
      </c>
    </row>
    <row r="202" spans="3:17" s="16" customFormat="1">
      <c r="D202" s="169" t="s">
        <v>410</v>
      </c>
      <c r="J202" s="98">
        <f>IF(J$12=0,0,Fcast_TA!J137)</f>
        <v>0</v>
      </c>
      <c r="K202" s="98">
        <f>IF(K$12=0,0,Fcast_TA!K137)</f>
        <v>0</v>
      </c>
      <c r="L202" s="98">
        <f>IF(L$12=0,0,Fcast_TA!L137)</f>
        <v>0</v>
      </c>
      <c r="M202" s="98">
        <f>IF(M$12=0,0,Fcast_TA!M137)</f>
        <v>8</v>
      </c>
      <c r="N202" s="98">
        <f>IF(N$12=0,0,Fcast_TA!N137)</f>
        <v>9</v>
      </c>
      <c r="O202" s="98">
        <f>IF(O$12=0,0,Fcast_TA!O137)</f>
        <v>10</v>
      </c>
      <c r="P202" s="98">
        <f>IF(P$12=0,0,Fcast_TA!P137)</f>
        <v>11</v>
      </c>
      <c r="Q202" s="98">
        <f>IF(Q$12=0,0,Fcast_TA!Q137)</f>
        <v>12</v>
      </c>
    </row>
    <row r="203" spans="3:17">
      <c r="K203" s="16"/>
      <c r="L203" s="16"/>
      <c r="M203" s="16"/>
      <c r="N203" s="16"/>
      <c r="O203" s="16"/>
      <c r="P203" s="16"/>
      <c r="Q203" s="16"/>
    </row>
    <row r="204" spans="3:17" s="16" customFormat="1" ht="11.25">
      <c r="C204" s="126" t="str">
        <f>Fcast_TA!D138&amp;" ("&amp;INDEX(LU_Denom,DD_TS_Denom)&amp;")"</f>
        <v>Other Non-Current Liabilities ($Millions)</v>
      </c>
    </row>
    <row r="205" spans="3:17" s="16" customFormat="1"/>
    <row r="206" spans="3:17" s="16" customFormat="1">
      <c r="D206" s="168" t="s">
        <v>245</v>
      </c>
      <c r="J206" s="95">
        <f>IF(J$12=0,0,IF(J$12=TS_Data_Full_Pers+1,Fcast_TA!$I$138,I208))</f>
        <v>0</v>
      </c>
      <c r="K206" s="95">
        <f>IF(K$12=0,0,IF(K$12=TS_Data_Full_Pers+1,Fcast_TA!$I$138,J208))</f>
        <v>0</v>
      </c>
      <c r="L206" s="95">
        <f>IF(L$12=0,0,IF(L$12=TS_Data_Full_Pers+1,Fcast_TA!$I$138,K208))</f>
        <v>0</v>
      </c>
      <c r="M206" s="95">
        <f ca="1">IF(M$12=0,0,IF(M$12=TS_Data_Full_Pers+1,Fcast_TA!$I$138,L208))</f>
        <v>8</v>
      </c>
      <c r="N206" s="95">
        <f>IF(N$12=0,0,IF(N$12=TS_Data_Full_Pers+1,Fcast_TA!$I$138,M208))</f>
        <v>9</v>
      </c>
      <c r="O206" s="95">
        <f>IF(O$12=0,0,IF(O$12=TS_Data_Full_Pers+1,Fcast_TA!$I$138,N208))</f>
        <v>10</v>
      </c>
      <c r="P206" s="95">
        <f>IF(P$12=0,0,IF(P$12=TS_Data_Full_Pers+1,Fcast_TA!$I$138,O208))</f>
        <v>11</v>
      </c>
      <c r="Q206" s="95">
        <f>IF(Q$12=0,0,IF(Q$12=TS_Data_Full_Pers+1,Fcast_TA!$I$138,P208))</f>
        <v>12</v>
      </c>
    </row>
    <row r="207" spans="3:17" s="16" customFormat="1">
      <c r="D207" s="168" t="s">
        <v>492</v>
      </c>
      <c r="J207" s="97">
        <f>IF(J$12=0,0,J208-J206)</f>
        <v>0</v>
      </c>
      <c r="K207" s="97">
        <f t="shared" ref="K207:Q207" si="76">IF(K$12=0,0,K208-K206)</f>
        <v>0</v>
      </c>
      <c r="L207" s="97">
        <f t="shared" si="76"/>
        <v>0</v>
      </c>
      <c r="M207" s="97">
        <f t="shared" ca="1" si="76"/>
        <v>1</v>
      </c>
      <c r="N207" s="97">
        <f t="shared" si="76"/>
        <v>1</v>
      </c>
      <c r="O207" s="97">
        <f t="shared" si="76"/>
        <v>1</v>
      </c>
      <c r="P207" s="97">
        <f t="shared" si="76"/>
        <v>1</v>
      </c>
      <c r="Q207" s="97">
        <f t="shared" si="76"/>
        <v>1</v>
      </c>
    </row>
    <row r="208" spans="3:17" s="16" customFormat="1">
      <c r="D208" s="169" t="s">
        <v>410</v>
      </c>
      <c r="J208" s="98">
        <f>IF(J$12=0,0,Fcast_TA!J138)</f>
        <v>0</v>
      </c>
      <c r="K208" s="98">
        <f>IF(K$12=0,0,Fcast_TA!K138)</f>
        <v>0</v>
      </c>
      <c r="L208" s="98">
        <f>IF(L$12=0,0,Fcast_TA!L138)</f>
        <v>0</v>
      </c>
      <c r="M208" s="98">
        <f>IF(M$12=0,0,Fcast_TA!M138)</f>
        <v>9</v>
      </c>
      <c r="N208" s="98">
        <f>IF(N$12=0,0,Fcast_TA!N138)</f>
        <v>10</v>
      </c>
      <c r="O208" s="98">
        <f>IF(O$12=0,0,Fcast_TA!O138)</f>
        <v>11</v>
      </c>
      <c r="P208" s="98">
        <f>IF(P$12=0,0,Fcast_TA!P138)</f>
        <v>12</v>
      </c>
      <c r="Q208" s="98">
        <f>IF(Q$12=0,0,Fcast_TA!Q138)</f>
        <v>13</v>
      </c>
    </row>
    <row r="210" spans="3:17" s="16" customFormat="1" ht="11.25">
      <c r="C210" s="126" t="str">
        <f>Fcast_TA!D139&amp;" ("&amp;INDEX(LU_Denom,DD_TS_Denom)&amp;")"</f>
        <v>Other Equity ($Millions)</v>
      </c>
    </row>
    <row r="211" spans="3:17" s="16" customFormat="1"/>
    <row r="212" spans="3:17" s="16" customFormat="1">
      <c r="D212" s="171" t="s">
        <v>245</v>
      </c>
      <c r="J212" s="95">
        <f>IF(J$12=0,0,IF(J$12=TS_Data_Full_Pers+1,Fcast_TA!$I$139,I214))</f>
        <v>0</v>
      </c>
      <c r="K212" s="95">
        <f>IF(K$12=0,0,IF(K$12=TS_Data_Full_Pers+1,Fcast_TA!$I$139,J214))</f>
        <v>0</v>
      </c>
      <c r="L212" s="95">
        <f>IF(L$12=0,0,IF(L$12=TS_Data_Full_Pers+1,Fcast_TA!$I$139,K214))</f>
        <v>0</v>
      </c>
      <c r="M212" s="95">
        <f ca="1">IF(M$12=0,0,IF(M$12=TS_Data_Full_Pers+1,Fcast_TA!$I$139,L214))</f>
        <v>5</v>
      </c>
      <c r="N212" s="95">
        <f>IF(N$12=0,0,IF(N$12=TS_Data_Full_Pers+1,Fcast_TA!$I$139,M214))</f>
        <v>5.3999999999999986</v>
      </c>
      <c r="O212" s="95">
        <f>IF(O$12=0,0,IF(O$12=TS_Data_Full_Pers+1,Fcast_TA!$I$139,N214))</f>
        <v>5.4999999999999982</v>
      </c>
      <c r="P212" s="95">
        <f>IF(P$12=0,0,IF(P$12=TS_Data_Full_Pers+1,Fcast_TA!$I$139,O214))</f>
        <v>5.5999999999999979</v>
      </c>
      <c r="Q212" s="95">
        <f>IF(Q$12=0,0,IF(Q$12=TS_Data_Full_Pers+1,Fcast_TA!$I$139,P214))</f>
        <v>5.6999999999999975</v>
      </c>
    </row>
    <row r="213" spans="3:17" s="16" customFormat="1">
      <c r="D213" s="171" t="s">
        <v>492</v>
      </c>
      <c r="J213" s="97">
        <f>IF(J$12=0,0,J214-J212)</f>
        <v>0</v>
      </c>
      <c r="K213" s="97">
        <f t="shared" ref="K213:Q213" si="77">IF(K$12=0,0,K214-K212)</f>
        <v>0</v>
      </c>
      <c r="L213" s="97">
        <f t="shared" si="77"/>
        <v>0</v>
      </c>
      <c r="M213" s="97">
        <f t="shared" ca="1" si="77"/>
        <v>0.39999999999999858</v>
      </c>
      <c r="N213" s="97">
        <f t="shared" si="77"/>
        <v>9.9999999999999645E-2</v>
      </c>
      <c r="O213" s="97">
        <f t="shared" si="77"/>
        <v>9.9999999999999645E-2</v>
      </c>
      <c r="P213" s="97">
        <f t="shared" si="77"/>
        <v>9.9999999999999645E-2</v>
      </c>
      <c r="Q213" s="97">
        <f t="shared" si="77"/>
        <v>9.9999999999999645E-2</v>
      </c>
    </row>
    <row r="214" spans="3:17" s="16" customFormat="1">
      <c r="D214" s="172" t="s">
        <v>410</v>
      </c>
      <c r="J214" s="98">
        <f>IF(J$12=0,0,Fcast_TA!J139)</f>
        <v>0</v>
      </c>
      <c r="K214" s="98">
        <f>IF(K$12=0,0,Fcast_TA!K139)</f>
        <v>0</v>
      </c>
      <c r="L214" s="98">
        <f>IF(L$12=0,0,Fcast_TA!L139)</f>
        <v>0</v>
      </c>
      <c r="M214" s="98">
        <f>IF(M$12=0,0,Fcast_TA!M139)</f>
        <v>5.3999999999999986</v>
      </c>
      <c r="N214" s="98">
        <f>IF(N$12=0,0,Fcast_TA!N139)</f>
        <v>5.4999999999999982</v>
      </c>
      <c r="O214" s="98">
        <f>IF(O$12=0,0,Fcast_TA!O139)</f>
        <v>5.5999999999999979</v>
      </c>
      <c r="P214" s="98">
        <f>IF(P$12=0,0,Fcast_TA!P139)</f>
        <v>5.6999999999999975</v>
      </c>
      <c r="Q214" s="98">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 min="13" max="13" width="12.83203125" collapsed="1"/>
  </cols>
  <sheetData>
    <row r="1" spans="1:17" ht="18">
      <c r="B1" s="1" t="s">
        <v>543</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47</v>
      </c>
    </row>
    <row r="18" spans="3:17">
      <c r="D18" s="5" t="str">
        <f>Fcast_OP_TO!C18</f>
        <v>Revenue</v>
      </c>
      <c r="J18" s="95">
        <f>Fcast_OP_TO!J18</f>
        <v>0</v>
      </c>
      <c r="K18" s="95">
        <f>Fcast_OP_TO!K18</f>
        <v>0</v>
      </c>
      <c r="L18" s="95">
        <f>Fcast_OP_TO!L18</f>
        <v>0</v>
      </c>
      <c r="M18" s="95">
        <f>Fcast_OP_TO!M18</f>
        <v>134.611328125</v>
      </c>
      <c r="N18" s="95">
        <f>Fcast_OP_TO!N18</f>
        <v>137.97661132812499</v>
      </c>
      <c r="O18" s="95">
        <f>Fcast_OP_TO!O18</f>
        <v>141.4260266113281</v>
      </c>
      <c r="P18" s="95">
        <f>Fcast_OP_TO!P18</f>
        <v>144.96167727661128</v>
      </c>
      <c r="Q18" s="95">
        <f>Fcast_OP_TO!Q18</f>
        <v>148.58571920852654</v>
      </c>
    </row>
    <row r="19" spans="3:17" s="16" customFormat="1">
      <c r="D19" s="5" t="str">
        <f>Fcast_OP_TO!C19</f>
        <v>Cost of Goods Sold</v>
      </c>
      <c r="J19" s="95">
        <f>-Fcast_OP_TO!J19</f>
        <v>0</v>
      </c>
      <c r="K19" s="95">
        <f>-Fcast_OP_TO!K19</f>
        <v>0</v>
      </c>
      <c r="L19" s="95">
        <f>-Fcast_OP_TO!L19</f>
        <v>0</v>
      </c>
      <c r="M19" s="95">
        <f>-Fcast_OP_TO!M19</f>
        <v>-26.922265624999991</v>
      </c>
      <c r="N19" s="95">
        <f>-Fcast_OP_TO!N19</f>
        <v>-27.59532226562499</v>
      </c>
      <c r="O19" s="95">
        <f>-Fcast_OP_TO!O19</f>
        <v>-28.285205322265611</v>
      </c>
      <c r="P19" s="95">
        <f>-Fcast_OP_TO!P19</f>
        <v>-28.992335455322248</v>
      </c>
      <c r="Q19" s="95">
        <f>-Fcast_OP_TO!Q19</f>
        <v>-29.717143841705301</v>
      </c>
    </row>
    <row r="20" spans="3:17" s="16" customFormat="1">
      <c r="J20" s="95"/>
      <c r="K20" s="95"/>
      <c r="L20" s="95"/>
      <c r="M20" s="95"/>
      <c r="N20" s="95"/>
      <c r="O20" s="95"/>
      <c r="P20" s="95"/>
      <c r="Q20" s="95"/>
    </row>
    <row r="21" spans="3:17" s="16" customFormat="1" ht="11.25">
      <c r="C21" s="94" t="s">
        <v>472</v>
      </c>
      <c r="J21" s="141">
        <f t="shared" ref="J21:Q21" si="8">J18+J19</f>
        <v>0</v>
      </c>
      <c r="K21" s="141">
        <f t="shared" si="8"/>
        <v>0</v>
      </c>
      <c r="L21" s="141">
        <f t="shared" si="8"/>
        <v>0</v>
      </c>
      <c r="M21" s="141">
        <f t="shared" si="8"/>
        <v>107.68906250000001</v>
      </c>
      <c r="N21" s="141">
        <f t="shared" si="8"/>
        <v>110.3812890625</v>
      </c>
      <c r="O21" s="141">
        <f t="shared" si="8"/>
        <v>113.14082128906249</v>
      </c>
      <c r="P21" s="141">
        <f t="shared" si="8"/>
        <v>115.96934182128904</v>
      </c>
      <c r="Q21" s="141">
        <f t="shared" si="8"/>
        <v>118.86857536682123</v>
      </c>
    </row>
    <row r="22" spans="3:17">
      <c r="J22" s="95"/>
      <c r="K22" s="95"/>
      <c r="L22" s="95"/>
      <c r="M22" s="95"/>
      <c r="N22" s="95"/>
      <c r="O22" s="95"/>
      <c r="P22" s="95"/>
      <c r="Q22" s="95"/>
    </row>
    <row r="23" spans="3:17">
      <c r="D23" s="5" t="str">
        <f>Fcast_OP_TO!C20</f>
        <v>Operating Expenditure</v>
      </c>
      <c r="J23" s="95">
        <f>-Fcast_OP_TO!J20</f>
        <v>0</v>
      </c>
      <c r="K23" s="95">
        <f>-Fcast_OP_TO!K20</f>
        <v>0</v>
      </c>
      <c r="L23" s="95">
        <f>-Fcast_OP_TO!L20</f>
        <v>0</v>
      </c>
      <c r="M23" s="95">
        <f>-Fcast_OP_TO!M20</f>
        <v>-43.075624999999995</v>
      </c>
      <c r="N23" s="95">
        <f>-Fcast_OP_TO!N20</f>
        <v>-44.152515624999992</v>
      </c>
      <c r="O23" s="95">
        <f>-Fcast_OP_TO!O20</f>
        <v>-45.256328515624986</v>
      </c>
      <c r="P23" s="95">
        <f>-Fcast_OP_TO!P20</f>
        <v>-46.387736728515605</v>
      </c>
      <c r="Q23" s="95">
        <f>-Fcast_OP_TO!Q20</f>
        <v>-47.547430146728495</v>
      </c>
    </row>
    <row r="24" spans="3:17">
      <c r="J24" s="95"/>
      <c r="K24" s="95"/>
      <c r="L24" s="95"/>
      <c r="M24" s="95"/>
      <c r="N24" s="95"/>
      <c r="O24" s="95"/>
      <c r="P24" s="95"/>
      <c r="Q24" s="95"/>
    </row>
    <row r="25" spans="3:17" ht="11.25">
      <c r="C25" s="94" t="s">
        <v>10</v>
      </c>
      <c r="J25" s="141">
        <f>J21+J23</f>
        <v>0</v>
      </c>
      <c r="K25" s="141">
        <f t="shared" ref="K25:Q25" si="9">K21+K23</f>
        <v>0</v>
      </c>
      <c r="L25" s="141">
        <f t="shared" si="9"/>
        <v>0</v>
      </c>
      <c r="M25" s="141">
        <f t="shared" si="9"/>
        <v>64.613437500000003</v>
      </c>
      <c r="N25" s="141">
        <f t="shared" si="9"/>
        <v>66.22877343750001</v>
      </c>
      <c r="O25" s="141">
        <f t="shared" si="9"/>
        <v>67.884492773437501</v>
      </c>
      <c r="P25" s="141">
        <f t="shared" si="9"/>
        <v>69.58160509277343</v>
      </c>
      <c r="Q25" s="141">
        <f t="shared" si="9"/>
        <v>71.321145220092745</v>
      </c>
    </row>
    <row r="26" spans="3:17">
      <c r="J26" s="95"/>
      <c r="K26" s="95"/>
      <c r="L26" s="95"/>
      <c r="M26" s="95"/>
      <c r="N26" s="95"/>
      <c r="O26" s="95"/>
      <c r="P26" s="95"/>
      <c r="Q26" s="95"/>
    </row>
    <row r="27" spans="3:17" hidden="1" outlineLevel="2">
      <c r="E27" s="5" t="str">
        <f>Fcast_OP_TO!D69</f>
        <v>Depreciation</v>
      </c>
      <c r="J27" s="95">
        <f>Fcast_OP_TO!J69</f>
        <v>0</v>
      </c>
      <c r="K27" s="95">
        <f>Fcast_OP_TO!K69</f>
        <v>0</v>
      </c>
      <c r="L27" s="95">
        <f>Fcast_OP_TO!L69</f>
        <v>0</v>
      </c>
      <c r="M27" s="95">
        <f>Fcast_OP_TO!M69</f>
        <v>-14.538023437499994</v>
      </c>
      <c r="N27" s="95">
        <f>Fcast_OP_TO!N69</f>
        <v>-14.901474023437492</v>
      </c>
      <c r="O27" s="95">
        <f>Fcast_OP_TO!O69</f>
        <v>-15.274010874023428</v>
      </c>
      <c r="P27" s="95">
        <f>Fcast_OP_TO!P69</f>
        <v>-15.655861145874013</v>
      </c>
      <c r="Q27" s="95">
        <f>Fcast_OP_TO!Q69</f>
        <v>-16.047257674520861</v>
      </c>
    </row>
    <row r="28" spans="3:17" s="16" customFormat="1" hidden="1" outlineLevel="2">
      <c r="E28" s="5" t="str">
        <f>Fcast_OP_TO!D81</f>
        <v>Amortization</v>
      </c>
      <c r="J28" s="123">
        <f>Fcast_OP_TO!J81</f>
        <v>0</v>
      </c>
      <c r="K28" s="123">
        <f>Fcast_OP_TO!K81</f>
        <v>0</v>
      </c>
      <c r="L28" s="123">
        <f>Fcast_OP_TO!L81</f>
        <v>0</v>
      </c>
      <c r="M28" s="123">
        <f>Fcast_OP_TO!M81</f>
        <v>-0.67305664062499992</v>
      </c>
      <c r="N28" s="123">
        <f>Fcast_OP_TO!N81</f>
        <v>-0.68988305664062488</v>
      </c>
      <c r="O28" s="123">
        <f>Fcast_OP_TO!O81</f>
        <v>-0.70713013305664041</v>
      </c>
      <c r="P28" s="123">
        <f>Fcast_OP_TO!P81</f>
        <v>-0.72480838638305634</v>
      </c>
      <c r="Q28" s="123">
        <f>Fcast_OP_TO!Q81</f>
        <v>-0.74292859604263273</v>
      </c>
    </row>
    <row r="29" spans="3:17" collapsed="1">
      <c r="D29" s="168" t="s">
        <v>473</v>
      </c>
      <c r="J29" s="95">
        <f>SUM(J27:J28)</f>
        <v>0</v>
      </c>
      <c r="K29" s="95">
        <f t="shared" ref="K29:Q29" si="10">SUM(K27:K28)</f>
        <v>0</v>
      </c>
      <c r="L29" s="95">
        <f t="shared" si="10"/>
        <v>0</v>
      </c>
      <c r="M29" s="95">
        <f t="shared" si="10"/>
        <v>-15.211080078124994</v>
      </c>
      <c r="N29" s="95">
        <f t="shared" si="10"/>
        <v>-15.591357080078117</v>
      </c>
      <c r="O29" s="95">
        <f t="shared" si="10"/>
        <v>-15.981141007080069</v>
      </c>
      <c r="P29" s="95">
        <f t="shared" si="10"/>
        <v>-16.38066953225707</v>
      </c>
      <c r="Q29" s="95">
        <f t="shared" si="10"/>
        <v>-16.790186270563492</v>
      </c>
    </row>
    <row r="30" spans="3:17">
      <c r="J30" s="95"/>
      <c r="K30" s="95"/>
      <c r="L30" s="95"/>
      <c r="M30" s="95"/>
      <c r="N30" s="95"/>
      <c r="O30" s="95"/>
      <c r="P30" s="95"/>
      <c r="Q30" s="95"/>
    </row>
    <row r="31" spans="3:17" ht="11.25">
      <c r="C31" s="94" t="s">
        <v>11</v>
      </c>
      <c r="J31" s="141">
        <f t="shared" ref="J31:Q31" si="11">J25+J29</f>
        <v>0</v>
      </c>
      <c r="K31" s="141">
        <f t="shared" si="11"/>
        <v>0</v>
      </c>
      <c r="L31" s="141">
        <f t="shared" si="11"/>
        <v>0</v>
      </c>
      <c r="M31" s="141">
        <f t="shared" si="11"/>
        <v>49.40235742187501</v>
      </c>
      <c r="N31" s="141">
        <f t="shared" si="11"/>
        <v>50.637416357421891</v>
      </c>
      <c r="O31" s="141">
        <f t="shared" si="11"/>
        <v>51.903351766357432</v>
      </c>
      <c r="P31" s="141">
        <f t="shared" si="11"/>
        <v>53.200935560516356</v>
      </c>
      <c r="Q31" s="141">
        <f t="shared" si="11"/>
        <v>54.53095894952925</v>
      </c>
    </row>
    <row r="32" spans="3:17">
      <c r="J32" s="95"/>
      <c r="K32" s="95"/>
      <c r="L32" s="95"/>
      <c r="M32" s="95"/>
      <c r="N32" s="95"/>
      <c r="O32" s="95"/>
      <c r="P32" s="95"/>
      <c r="Q32" s="95"/>
    </row>
    <row r="33" spans="3:17">
      <c r="D33" s="5" t="str">
        <f>Fcast_OP_TO!E110</f>
        <v>Interest Expense</v>
      </c>
      <c r="J33" s="95">
        <f>-Fcast_OP_TO!J110</f>
        <v>0</v>
      </c>
      <c r="K33" s="95">
        <f>-Fcast_OP_TO!K110</f>
        <v>0</v>
      </c>
      <c r="L33" s="95">
        <f>-Fcast_OP_TO!L110</f>
        <v>0</v>
      </c>
      <c r="M33" s="95">
        <f ca="1">-Fcast_OP_TO!M110</f>
        <v>-3.25</v>
      </c>
      <c r="N33" s="95">
        <f ca="1">-Fcast_OP_TO!N110</f>
        <v>-3.4125000000000001</v>
      </c>
      <c r="O33" s="95">
        <f ca="1">-Fcast_OP_TO!O110</f>
        <v>-3.5750000000000002</v>
      </c>
      <c r="P33" s="95">
        <f ca="1">-Fcast_OP_TO!P110</f>
        <v>-3.5750000000000002</v>
      </c>
      <c r="Q33" s="95">
        <f ca="1">-Fcast_OP_TO!Q110</f>
        <v>-3.5750000000000002</v>
      </c>
    </row>
    <row r="34" spans="3:17">
      <c r="J34" s="95"/>
      <c r="K34" s="95"/>
      <c r="L34" s="95"/>
      <c r="M34" s="95"/>
      <c r="N34" s="95"/>
      <c r="O34" s="95"/>
      <c r="P34" s="95"/>
      <c r="Q34" s="95"/>
    </row>
    <row r="35" spans="3:17" ht="11.25">
      <c r="C35" s="94" t="s">
        <v>12</v>
      </c>
      <c r="J35" s="141">
        <f t="shared" ref="J35:Q35" si="12">J31+J33</f>
        <v>0</v>
      </c>
      <c r="K35" s="141">
        <f t="shared" si="12"/>
        <v>0</v>
      </c>
      <c r="L35" s="141">
        <f t="shared" si="12"/>
        <v>0</v>
      </c>
      <c r="M35" s="141">
        <f t="shared" ca="1" si="12"/>
        <v>46.15235742187501</v>
      </c>
      <c r="N35" s="141">
        <f t="shared" ca="1" si="12"/>
        <v>47.22491635742189</v>
      </c>
      <c r="O35" s="141">
        <f t="shared" ca="1" si="12"/>
        <v>48.328351766357429</v>
      </c>
      <c r="P35" s="141">
        <f t="shared" ca="1" si="12"/>
        <v>49.625935560516353</v>
      </c>
      <c r="Q35" s="141">
        <f t="shared" ca="1" si="12"/>
        <v>50.955958949529247</v>
      </c>
    </row>
    <row r="36" spans="3:17">
      <c r="J36" s="95"/>
      <c r="K36" s="95"/>
      <c r="L36" s="95"/>
      <c r="M36" s="95"/>
      <c r="N36" s="95"/>
      <c r="O36" s="95"/>
      <c r="P36" s="95"/>
      <c r="Q36" s="95"/>
    </row>
    <row r="37" spans="3:17">
      <c r="D37" s="5" t="str">
        <f>Fcast_OP_TO!D174</f>
        <v>Tax Expense / (Benefit)</v>
      </c>
      <c r="J37" s="95">
        <f>-Fcast_OP_TO!J174</f>
        <v>0</v>
      </c>
      <c r="K37" s="95">
        <f>-Fcast_OP_TO!K174</f>
        <v>0</v>
      </c>
      <c r="L37" s="95">
        <f>-Fcast_OP_TO!L174</f>
        <v>0</v>
      </c>
      <c r="M37" s="95">
        <f ca="1">-Fcast_OP_TO!M174</f>
        <v>-13.845707226562503</v>
      </c>
      <c r="N37" s="95">
        <f ca="1">-Fcast_OP_TO!N174</f>
        <v>-14.167474907226566</v>
      </c>
      <c r="O37" s="95">
        <f ca="1">-Fcast_OP_TO!O174</f>
        <v>-14.498505529907227</v>
      </c>
      <c r="P37" s="95">
        <f ca="1">-Fcast_OP_TO!P174</f>
        <v>-14.887780668154907</v>
      </c>
      <c r="Q37" s="95">
        <f ca="1">-Fcast_OP_TO!Q174</f>
        <v>-15.286787684858773</v>
      </c>
    </row>
    <row r="38" spans="3:17">
      <c r="J38" s="95"/>
      <c r="K38" s="95"/>
      <c r="L38" s="95"/>
      <c r="M38" s="95"/>
      <c r="N38" s="95"/>
      <c r="O38" s="95"/>
      <c r="P38" s="95"/>
      <c r="Q38" s="95"/>
    </row>
    <row r="39" spans="3:17" ht="12.75" thickBot="1">
      <c r="C39" s="17" t="s">
        <v>13</v>
      </c>
      <c r="J39" s="140">
        <f t="shared" ref="J39:Q39" si="13">J35+J37</f>
        <v>0</v>
      </c>
      <c r="K39" s="140">
        <f t="shared" si="13"/>
        <v>0</v>
      </c>
      <c r="L39" s="140">
        <f t="shared" si="13"/>
        <v>0</v>
      </c>
      <c r="M39" s="140">
        <f t="shared" ca="1" si="13"/>
        <v>32.306650195312507</v>
      </c>
      <c r="N39" s="140">
        <f t="shared" ca="1" si="13"/>
        <v>33.057441450195327</v>
      </c>
      <c r="O39" s="140">
        <f t="shared" ca="1" si="13"/>
        <v>33.829846236450202</v>
      </c>
      <c r="P39" s="140">
        <f t="shared" ca="1" si="13"/>
        <v>34.73815489236145</v>
      </c>
      <c r="Q39" s="140">
        <f t="shared" ca="1" si="13"/>
        <v>35.669171264670474</v>
      </c>
    </row>
    <row r="40" spans="3:17" ht="11.25" thickTop="1"/>
    <row r="41" spans="3:17" ht="11.25">
      <c r="C41" s="15" t="s">
        <v>413</v>
      </c>
      <c r="I41" s="99">
        <f ca="1">IF(ISERROR(SUM(J41:Q41)),0,MIN(SUM(J41:Q41),1))</f>
        <v>0</v>
      </c>
      <c r="J41" s="96">
        <f t="shared" ref="J41:Q41" si="14">IF(ISERROR(J39),1,0)</f>
        <v>0</v>
      </c>
      <c r="K41" s="96">
        <f t="shared" si="14"/>
        <v>0</v>
      </c>
      <c r="L41" s="96">
        <f t="shared" si="14"/>
        <v>0</v>
      </c>
      <c r="M41" s="96">
        <f t="shared" ca="1" si="14"/>
        <v>0</v>
      </c>
      <c r="N41" s="96">
        <f t="shared" ca="1" si="14"/>
        <v>0</v>
      </c>
      <c r="O41" s="96">
        <f t="shared" ca="1" si="14"/>
        <v>0</v>
      </c>
      <c r="P41" s="96">
        <f t="shared" ca="1" si="14"/>
        <v>0</v>
      </c>
      <c r="Q41" s="96">
        <f t="shared" ca="1" si="14"/>
        <v>0</v>
      </c>
    </row>
    <row r="43" spans="3:17">
      <c r="C43" s="162" t="s">
        <v>203</v>
      </c>
      <c r="D43" s="16"/>
    </row>
    <row r="44" spans="3:17" s="16" customFormat="1">
      <c r="C44" s="139">
        <v>1</v>
      </c>
      <c r="D44" s="215" t="str">
        <f>"All revenues and expenses are specified in "&amp;INDEX(LU_Denom,DD_TS_Denom)&amp;"."</f>
        <v>All revenues and expenses are specified in $Millions.</v>
      </c>
    </row>
    <row r="45" spans="3:17" s="16" customFormat="1">
      <c r="C45" s="139">
        <v>2</v>
      </c>
      <c r="D45" s="108" t="s">
        <v>14</v>
      </c>
    </row>
    <row r="47" spans="3:17">
      <c r="C47" s="107" t="str">
        <f>"Go to "&amp;BS_Fcast_TO!$B$1</f>
        <v>Go to Balance Sheet - Forecast Outputs</v>
      </c>
      <c r="D47" s="9"/>
      <c r="E47" s="9"/>
      <c r="F47" s="9"/>
      <c r="G47" s="9"/>
      <c r="H47" s="9"/>
      <c r="I47" s="9"/>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s>
  <sheetData>
    <row r="1" spans="1:17" ht="18">
      <c r="B1" s="1" t="s">
        <v>544</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0</v>
      </c>
    </row>
    <row r="18" spans="3:17" ht="11.25">
      <c r="C18" s="94" t="s">
        <v>30</v>
      </c>
    </row>
    <row r="20" spans="3:17" hidden="1" outlineLevel="2">
      <c r="E20" s="108" t="s">
        <v>41</v>
      </c>
      <c r="J20" s="95">
        <f>IF(J$12=0,0,IF(J$12=TS_Data_Full_Pers+1,Fcast_TA!$I$127,I22))</f>
        <v>0</v>
      </c>
      <c r="K20" s="95">
        <f>IF(K$12=0,0,IF(K$12=TS_Data_Full_Pers+1,Fcast_TA!$I$127,J22))</f>
        <v>0</v>
      </c>
      <c r="L20" s="95">
        <f>IF(L$12=0,0,IF(L$12=TS_Data_Full_Pers+1,Fcast_TA!$I$127,K22))</f>
        <v>0</v>
      </c>
      <c r="M20" s="95">
        <f ca="1">IF(M$12=0,0,IF(M$12=TS_Data_Full_Pers+1,Fcast_TA!$I$127,L22))</f>
        <v>24.635307976188827</v>
      </c>
      <c r="N20" s="95">
        <f ca="1">IF(N$12=0,0,IF(N$12=TS_Data_Full_Pers+1,Fcast_TA!$I$127,M22))</f>
        <v>37.849752117669134</v>
      </c>
      <c r="O20" s="95">
        <f ca="1">IF(O$12=0,0,IF(O$12=TS_Data_Full_Pers+1,Fcast_TA!$I$127,N22))</f>
        <v>56.014020321295796</v>
      </c>
      <c r="P20" s="95">
        <f ca="1">IF(P$12=0,0,IF(P$12=TS_Data_Full_Pers+1,Fcast_TA!$I$127,O22))</f>
        <v>69.479098355013136</v>
      </c>
      <c r="Q20" s="95">
        <f ca="1">IF(Q$12=0,0,IF(Q$12=TS_Data_Full_Pers+1,Fcast_TA!$I$127,P22))</f>
        <v>83.366715156101776</v>
      </c>
    </row>
    <row r="21" spans="3:17" hidden="1" outlineLevel="2">
      <c r="E21" s="108" t="s">
        <v>42</v>
      </c>
      <c r="J21" s="123">
        <f>CFS_Fcast_TO!J51</f>
        <v>0</v>
      </c>
      <c r="K21" s="123">
        <f>CFS_Fcast_TO!K51</f>
        <v>0</v>
      </c>
      <c r="L21" s="123">
        <f>CFS_Fcast_TO!L51</f>
        <v>0</v>
      </c>
      <c r="M21" s="123">
        <f ca="1">CFS_Fcast_TO!M51</f>
        <v>13.214444141480307</v>
      </c>
      <c r="N21" s="123">
        <f ca="1">CFS_Fcast_TO!N51</f>
        <v>18.164268203626662</v>
      </c>
      <c r="O21" s="123">
        <f ca="1">CFS_Fcast_TO!O51</f>
        <v>13.465078033717337</v>
      </c>
      <c r="P21" s="123">
        <f ca="1">CFS_Fcast_TO!P51</f>
        <v>13.887616801088644</v>
      </c>
      <c r="Q21" s="123">
        <f ca="1">CFS_Fcast_TO!Q51</f>
        <v>14.249085792645893</v>
      </c>
    </row>
    <row r="22" spans="3:17" collapsed="1">
      <c r="D22" s="168" t="s">
        <v>488</v>
      </c>
      <c r="J22" s="95">
        <f t="shared" ref="J22:Q22" si="8">SUM(J20:J21)</f>
        <v>0</v>
      </c>
      <c r="K22" s="95">
        <f t="shared" si="8"/>
        <v>0</v>
      </c>
      <c r="L22" s="95">
        <f t="shared" si="8"/>
        <v>0</v>
      </c>
      <c r="M22" s="95">
        <f t="shared" ca="1" si="8"/>
        <v>37.849752117669134</v>
      </c>
      <c r="N22" s="95">
        <f t="shared" ca="1" si="8"/>
        <v>56.014020321295796</v>
      </c>
      <c r="O22" s="95">
        <f t="shared" ca="1" si="8"/>
        <v>69.479098355013136</v>
      </c>
      <c r="P22" s="95">
        <f t="shared" ca="1" si="8"/>
        <v>83.366715156101776</v>
      </c>
      <c r="Q22" s="95">
        <f t="shared" ca="1" si="8"/>
        <v>97.615800948747676</v>
      </c>
    </row>
    <row r="23" spans="3:17">
      <c r="D23" s="168" t="s">
        <v>298</v>
      </c>
      <c r="J23" s="95">
        <f>Fcast_OP_TO!J33</f>
        <v>0</v>
      </c>
      <c r="K23" s="95">
        <f>Fcast_OP_TO!K33</f>
        <v>0</v>
      </c>
      <c r="L23" s="95">
        <f>Fcast_OP_TO!L33</f>
        <v>0</v>
      </c>
      <c r="M23" s="95">
        <f>Fcast_OP_TO!M33</f>
        <v>11.063944777397261</v>
      </c>
      <c r="N23" s="95">
        <f>Fcast_OP_TO!N33</f>
        <v>11.340543396832192</v>
      </c>
      <c r="O23" s="95">
        <f>Fcast_OP_TO!O33</f>
        <v>11.624056981752995</v>
      </c>
      <c r="P23" s="95">
        <f>Fcast_OP_TO!P33</f>
        <v>11.882104694804204</v>
      </c>
      <c r="Q23" s="95">
        <f>Fcast_OP_TO!Q33</f>
        <v>12.212524866454237</v>
      </c>
    </row>
    <row r="24" spans="3:17" s="16" customFormat="1">
      <c r="D24" s="5" t="str">
        <f>Fcast_TA!D135</f>
        <v>Other Current Assets</v>
      </c>
      <c r="J24" s="95">
        <f>Fcast_OP_TO!J190</f>
        <v>0</v>
      </c>
      <c r="K24" s="95">
        <f>Fcast_OP_TO!K190</f>
        <v>0</v>
      </c>
      <c r="L24" s="95">
        <f>Fcast_OP_TO!L190</f>
        <v>0</v>
      </c>
      <c r="M24" s="95">
        <f>Fcast_OP_TO!M190</f>
        <v>6</v>
      </c>
      <c r="N24" s="95">
        <f>Fcast_OP_TO!N190</f>
        <v>7</v>
      </c>
      <c r="O24" s="95">
        <f>Fcast_OP_TO!O190</f>
        <v>8</v>
      </c>
      <c r="P24" s="95">
        <f>Fcast_OP_TO!P190</f>
        <v>9</v>
      </c>
      <c r="Q24" s="95">
        <f>Fcast_OP_TO!Q190</f>
        <v>10</v>
      </c>
    </row>
    <row r="25" spans="3:17">
      <c r="D25" s="137" t="str">
        <f>"Total "&amp;C18</f>
        <v>Total Current Assets</v>
      </c>
      <c r="J25" s="128">
        <f>J22+SUM(J23:J24)</f>
        <v>0</v>
      </c>
      <c r="K25" s="128">
        <f t="shared" ref="K25:Q25" si="9">K22+SUM(K23:K24)</f>
        <v>0</v>
      </c>
      <c r="L25" s="128">
        <f t="shared" si="9"/>
        <v>0</v>
      </c>
      <c r="M25" s="128">
        <f t="shared" ca="1" si="9"/>
        <v>54.913696895066394</v>
      </c>
      <c r="N25" s="128">
        <f t="shared" ca="1" si="9"/>
        <v>74.354563718127991</v>
      </c>
      <c r="O25" s="128">
        <f t="shared" ca="1" si="9"/>
        <v>89.103155336766122</v>
      </c>
      <c r="P25" s="128">
        <f t="shared" ca="1" si="9"/>
        <v>104.24881985090599</v>
      </c>
      <c r="Q25" s="128">
        <f t="shared" ca="1" si="9"/>
        <v>119.82832581520191</v>
      </c>
    </row>
    <row r="26" spans="3:17">
      <c r="J26" s="95"/>
      <c r="K26" s="95"/>
      <c r="L26" s="95"/>
      <c r="M26" s="95"/>
      <c r="N26" s="95"/>
      <c r="O26" s="95"/>
      <c r="P26" s="95"/>
      <c r="Q26" s="95"/>
    </row>
    <row r="27" spans="3:17" ht="11.25">
      <c r="C27" s="94" t="s">
        <v>31</v>
      </c>
      <c r="J27" s="95"/>
      <c r="K27" s="95"/>
      <c r="L27" s="95"/>
      <c r="M27" s="95"/>
      <c r="N27" s="95"/>
      <c r="O27" s="95"/>
      <c r="P27" s="95"/>
      <c r="Q27" s="95"/>
    </row>
    <row r="28" spans="3:17">
      <c r="J28" s="95"/>
      <c r="K28" s="95"/>
      <c r="L28" s="95"/>
      <c r="M28" s="95"/>
      <c r="N28" s="95"/>
      <c r="O28" s="95"/>
      <c r="P28" s="95"/>
      <c r="Q28" s="95"/>
    </row>
    <row r="29" spans="3:17">
      <c r="D29" s="168" t="s">
        <v>456</v>
      </c>
      <c r="J29" s="95">
        <f>Fcast_OP_TO!J70</f>
        <v>0</v>
      </c>
      <c r="K29" s="95">
        <f>Fcast_OP_TO!K70</f>
        <v>0</v>
      </c>
      <c r="L29" s="95">
        <f>Fcast_OP_TO!L70</f>
        <v>0</v>
      </c>
      <c r="M29" s="95">
        <f ca="1">Fcast_OP_TO!M70</f>
        <v>151.22877343750002</v>
      </c>
      <c r="N29" s="95">
        <f ca="1">Fcast_OP_TO!N70</f>
        <v>152.88449277343753</v>
      </c>
      <c r="O29" s="95">
        <f ca="1">Fcast_OP_TO!O70</f>
        <v>154.58160509277349</v>
      </c>
      <c r="P29" s="95">
        <f ca="1">Fcast_OP_TO!P70</f>
        <v>156.32114522009283</v>
      </c>
      <c r="Q29" s="95">
        <f ca="1">Fcast_OP_TO!Q70</f>
        <v>158.10417385059515</v>
      </c>
    </row>
    <row r="30" spans="3:17" s="16" customFormat="1">
      <c r="D30" s="168" t="s">
        <v>474</v>
      </c>
      <c r="J30" s="95">
        <f>Fcast_OP_TO!J82</f>
        <v>0</v>
      </c>
      <c r="K30" s="95">
        <f>Fcast_OP_TO!K82</f>
        <v>0</v>
      </c>
      <c r="L30" s="95">
        <f>Fcast_OP_TO!L82</f>
        <v>0</v>
      </c>
      <c r="M30" s="95">
        <f ca="1">Fcast_OP_TO!M82</f>
        <v>19.285966796874998</v>
      </c>
      <c r="N30" s="95">
        <f ca="1">Fcast_OP_TO!N82</f>
        <v>21.355615966796872</v>
      </c>
      <c r="O30" s="95">
        <f ca="1">Fcast_OP_TO!O82</f>
        <v>23.477006365966794</v>
      </c>
      <c r="P30" s="95">
        <f ca="1">Fcast_OP_TO!P82</f>
        <v>25.651431525115964</v>
      </c>
      <c r="Q30" s="95">
        <f ca="1">Fcast_OP_TO!Q82</f>
        <v>27.880217313243865</v>
      </c>
    </row>
    <row r="31" spans="3:17">
      <c r="D31" s="108" t="s">
        <v>3</v>
      </c>
      <c r="J31" s="144">
        <f ca="1">IF(J$12=0,0,OFFSET(BS_Hist_TO!$I$31,0,TS_Data_Total_Pers))</f>
        <v>0</v>
      </c>
      <c r="K31" s="144">
        <f ca="1">IF(K$12=0,0,OFFSET(BS_Hist_TO!$I$31,0,TS_Data_Total_Pers))</f>
        <v>0</v>
      </c>
      <c r="L31" s="144">
        <f ca="1">IF(L$12=0,0,OFFSET(BS_Hist_TO!$I$31,0,TS_Data_Total_Pers))</f>
        <v>0</v>
      </c>
      <c r="M31" s="144">
        <f ca="1">IF(M$12=0,0,OFFSET(BS_Hist_TO!$I$31,0,TS_Data_Total_Pers))</f>
        <v>0</v>
      </c>
      <c r="N31" s="144">
        <f ca="1">IF(N$12=0,0,OFFSET(BS_Hist_TO!$I$31,0,TS_Data_Total_Pers))</f>
        <v>0</v>
      </c>
      <c r="O31" s="144">
        <f ca="1">IF(O$12=0,0,OFFSET(BS_Hist_TO!$I$31,0,TS_Data_Total_Pers))</f>
        <v>0</v>
      </c>
      <c r="P31" s="144">
        <f ca="1">IF(P$12=0,0,OFFSET(BS_Hist_TO!$I$31,0,TS_Data_Total_Pers))</f>
        <v>0</v>
      </c>
      <c r="Q31" s="144">
        <f ca="1">IF(Q$12=0,0,OFFSET(BS_Hist_TO!$I$31,0,TS_Data_Total_Pers))</f>
        <v>0</v>
      </c>
    </row>
    <row r="32" spans="3:17" s="16" customFormat="1">
      <c r="D32" s="5" t="str">
        <f>Fcast_TA!D136</f>
        <v>Other Non-Current Assets</v>
      </c>
      <c r="J32" s="95">
        <f>Fcast_OP_TO!J196</f>
        <v>0</v>
      </c>
      <c r="K32" s="95">
        <f>Fcast_OP_TO!K196</f>
        <v>0</v>
      </c>
      <c r="L32" s="95">
        <f>Fcast_OP_TO!L196</f>
        <v>0</v>
      </c>
      <c r="M32" s="95">
        <f>Fcast_OP_TO!M196</f>
        <v>7</v>
      </c>
      <c r="N32" s="95">
        <f>Fcast_OP_TO!N196</f>
        <v>8</v>
      </c>
      <c r="O32" s="95">
        <f>Fcast_OP_TO!O196</f>
        <v>9</v>
      </c>
      <c r="P32" s="95">
        <f>Fcast_OP_TO!P196</f>
        <v>10</v>
      </c>
      <c r="Q32" s="95">
        <f>Fcast_OP_TO!Q196</f>
        <v>11</v>
      </c>
    </row>
    <row r="33" spans="3:17">
      <c r="D33" s="137" t="str">
        <f>"Total "&amp;C27</f>
        <v>Total Non-Current Assets</v>
      </c>
      <c r="J33" s="128">
        <f ca="1">SUM(J29:J32)</f>
        <v>0</v>
      </c>
      <c r="K33" s="128">
        <f t="shared" ref="K33:Q33" ca="1" si="10">SUM(K29:K32)</f>
        <v>0</v>
      </c>
      <c r="L33" s="128">
        <f t="shared" ca="1" si="10"/>
        <v>0</v>
      </c>
      <c r="M33" s="128">
        <f t="shared" ca="1" si="10"/>
        <v>177.51474023437501</v>
      </c>
      <c r="N33" s="128">
        <f t="shared" ca="1" si="10"/>
        <v>182.2401087402344</v>
      </c>
      <c r="O33" s="128">
        <f t="shared" ca="1" si="10"/>
        <v>187.05861145874027</v>
      </c>
      <c r="P33" s="128">
        <f t="shared" ca="1" si="10"/>
        <v>191.97257674520878</v>
      </c>
      <c r="Q33" s="128">
        <f t="shared" ca="1" si="10"/>
        <v>196.98439116383901</v>
      </c>
    </row>
    <row r="34" spans="3:17">
      <c r="J34" s="95"/>
      <c r="K34" s="95"/>
      <c r="L34" s="95"/>
      <c r="M34" s="95"/>
      <c r="N34" s="95"/>
      <c r="O34" s="95"/>
      <c r="P34" s="95"/>
      <c r="Q34" s="95"/>
    </row>
    <row r="35" spans="3:17" ht="11.25">
      <c r="C35" s="94" t="s">
        <v>32</v>
      </c>
      <c r="J35" s="141">
        <f t="shared" ref="J35:Q35" ca="1" si="11">J25+J33</f>
        <v>0</v>
      </c>
      <c r="K35" s="141">
        <f t="shared" ca="1" si="11"/>
        <v>0</v>
      </c>
      <c r="L35" s="141">
        <f t="shared" ca="1" si="11"/>
        <v>0</v>
      </c>
      <c r="M35" s="141">
        <f t="shared" ca="1" si="11"/>
        <v>232.42843712944142</v>
      </c>
      <c r="N35" s="141">
        <f t="shared" ca="1" si="11"/>
        <v>256.59467245836242</v>
      </c>
      <c r="O35" s="141">
        <f t="shared" ca="1" si="11"/>
        <v>276.16176679550642</v>
      </c>
      <c r="P35" s="141">
        <f t="shared" ca="1" si="11"/>
        <v>296.2213965961148</v>
      </c>
      <c r="Q35" s="141">
        <f t="shared" ca="1" si="11"/>
        <v>316.81271697904094</v>
      </c>
    </row>
    <row r="36" spans="3:17">
      <c r="J36" s="95"/>
      <c r="K36" s="95"/>
      <c r="L36" s="95"/>
      <c r="M36" s="95"/>
      <c r="N36" s="95"/>
      <c r="O36" s="95"/>
      <c r="P36" s="95"/>
      <c r="Q36" s="95"/>
    </row>
    <row r="37" spans="3:17" ht="11.25">
      <c r="C37" s="94" t="s">
        <v>33</v>
      </c>
      <c r="J37" s="95"/>
      <c r="K37" s="95"/>
      <c r="L37" s="95"/>
      <c r="M37" s="95"/>
      <c r="N37" s="95"/>
      <c r="O37" s="95"/>
      <c r="P37" s="95"/>
      <c r="Q37" s="95"/>
    </row>
    <row r="38" spans="3:17">
      <c r="J38" s="95"/>
      <c r="K38" s="95"/>
      <c r="L38" s="95"/>
      <c r="M38" s="95"/>
      <c r="N38" s="95"/>
      <c r="O38" s="95"/>
      <c r="P38" s="95"/>
      <c r="Q38" s="95"/>
    </row>
    <row r="39" spans="3:17">
      <c r="D39" s="171" t="s">
        <v>299</v>
      </c>
      <c r="J39" s="95">
        <f>Fcast_OP_TO!J50</f>
        <v>0</v>
      </c>
      <c r="K39" s="95">
        <f>Fcast_OP_TO!K50</f>
        <v>0</v>
      </c>
      <c r="L39" s="95">
        <f>Fcast_OP_TO!L50</f>
        <v>0</v>
      </c>
      <c r="M39" s="95">
        <f>Fcast_OP_TO!M50</f>
        <v>8.629876926369862</v>
      </c>
      <c r="N39" s="95">
        <f>Fcast_OP_TO!N50</f>
        <v>8.8456238495291082</v>
      </c>
      <c r="O39" s="95">
        <f>Fcast_OP_TO!O50</f>
        <v>9.0667644457673351</v>
      </c>
      <c r="P39" s="95">
        <f>Fcast_OP_TO!P50</f>
        <v>9.2680416619472759</v>
      </c>
      <c r="Q39" s="95">
        <f>Fcast_OP_TO!Q50</f>
        <v>9.5257693958343044</v>
      </c>
    </row>
    <row r="40" spans="3:17">
      <c r="D40" s="171" t="s">
        <v>8</v>
      </c>
      <c r="J40" s="95">
        <f>Fcast_OP_TO!J181</f>
        <v>0</v>
      </c>
      <c r="K40" s="95">
        <f>Fcast_OP_TO!K181</f>
        <v>0</v>
      </c>
      <c r="L40" s="95">
        <f>Fcast_OP_TO!L181</f>
        <v>0</v>
      </c>
      <c r="M40" s="95">
        <f ca="1">Fcast_OP_TO!M181</f>
        <v>13.845707226562505</v>
      </c>
      <c r="N40" s="95">
        <f ca="1">Fcast_OP_TO!N181</f>
        <v>14.16747490722657</v>
      </c>
      <c r="O40" s="95">
        <f ca="1">Fcast_OP_TO!O181</f>
        <v>14.498505529907231</v>
      </c>
      <c r="P40" s="95">
        <f ca="1">Fcast_OP_TO!P181</f>
        <v>14.88778066815491</v>
      </c>
      <c r="Q40" s="95">
        <f ca="1">Fcast_OP_TO!Q181</f>
        <v>15.286787684858776</v>
      </c>
    </row>
    <row r="41" spans="3:17">
      <c r="D41" s="171" t="s">
        <v>479</v>
      </c>
      <c r="J41" s="95">
        <f>Fcast_OP_TO!J115</f>
        <v>0</v>
      </c>
      <c r="K41" s="95">
        <f>Fcast_OP_TO!K115</f>
        <v>0</v>
      </c>
      <c r="L41" s="95">
        <f>Fcast_OP_TO!L115</f>
        <v>0</v>
      </c>
      <c r="M41" s="95">
        <f ca="1">Fcast_OP_TO!M115</f>
        <v>0</v>
      </c>
      <c r="N41" s="95">
        <f ca="1">Fcast_OP_TO!N115</f>
        <v>0</v>
      </c>
      <c r="O41" s="95">
        <f ca="1">Fcast_OP_TO!O115</f>
        <v>0</v>
      </c>
      <c r="P41" s="95">
        <f ca="1">Fcast_OP_TO!P115</f>
        <v>0</v>
      </c>
      <c r="Q41" s="95">
        <f ca="1">Fcast_OP_TO!Q115</f>
        <v>0</v>
      </c>
    </row>
    <row r="42" spans="3:17">
      <c r="D42" s="171" t="s">
        <v>34</v>
      </c>
      <c r="J42" s="95">
        <f>Fcast_OP_TO!J131</f>
        <v>0</v>
      </c>
      <c r="K42" s="95">
        <f>Fcast_OP_TO!K131</f>
        <v>0</v>
      </c>
      <c r="L42" s="95">
        <f>Fcast_OP_TO!L131</f>
        <v>0</v>
      </c>
      <c r="M42" s="95">
        <f ca="1">Fcast_OP_TO!M131</f>
        <v>0</v>
      </c>
      <c r="N42" s="95">
        <f ca="1">Fcast_OP_TO!N131</f>
        <v>0</v>
      </c>
      <c r="O42" s="95">
        <f ca="1">Fcast_OP_TO!O131</f>
        <v>0</v>
      </c>
      <c r="P42" s="95">
        <f ca="1">Fcast_OP_TO!P131</f>
        <v>0</v>
      </c>
      <c r="Q42" s="95">
        <f ca="1">Fcast_OP_TO!Q131</f>
        <v>0</v>
      </c>
    </row>
    <row r="43" spans="3:17" s="16" customFormat="1">
      <c r="D43" s="5" t="str">
        <f>Fcast_TA!D137</f>
        <v>Other Current Liabilities</v>
      </c>
      <c r="J43" s="95">
        <f>Fcast_OP_TO!J202</f>
        <v>0</v>
      </c>
      <c r="K43" s="95">
        <f>Fcast_OP_TO!K202</f>
        <v>0</v>
      </c>
      <c r="L43" s="95">
        <f>Fcast_OP_TO!L202</f>
        <v>0</v>
      </c>
      <c r="M43" s="95">
        <f>Fcast_OP_TO!M202</f>
        <v>8</v>
      </c>
      <c r="N43" s="95">
        <f>Fcast_OP_TO!N202</f>
        <v>9</v>
      </c>
      <c r="O43" s="95">
        <f>Fcast_OP_TO!O202</f>
        <v>10</v>
      </c>
      <c r="P43" s="95">
        <f>Fcast_OP_TO!P202</f>
        <v>11</v>
      </c>
      <c r="Q43" s="95">
        <f>Fcast_OP_TO!Q202</f>
        <v>12</v>
      </c>
    </row>
    <row r="44" spans="3:17">
      <c r="D44" s="137" t="str">
        <f>"Total "&amp;C37</f>
        <v>Total Current Liabilities</v>
      </c>
      <c r="J44" s="128">
        <f>SUM(J39:J43)</f>
        <v>0</v>
      </c>
      <c r="K44" s="128">
        <f t="shared" ref="K44:Q44" si="12">SUM(K39:K43)</f>
        <v>0</v>
      </c>
      <c r="L44" s="128">
        <f t="shared" si="12"/>
        <v>0</v>
      </c>
      <c r="M44" s="128">
        <f t="shared" ca="1" si="12"/>
        <v>30.475584152932367</v>
      </c>
      <c r="N44" s="128">
        <f t="shared" ca="1" si="12"/>
        <v>32.013098756755682</v>
      </c>
      <c r="O44" s="128">
        <f t="shared" ca="1" si="12"/>
        <v>33.565269975674568</v>
      </c>
      <c r="P44" s="128">
        <f t="shared" ca="1" si="12"/>
        <v>35.155822330102183</v>
      </c>
      <c r="Q44" s="128">
        <f t="shared" ca="1" si="12"/>
        <v>36.812557080693082</v>
      </c>
    </row>
    <row r="45" spans="3:17">
      <c r="J45" s="95"/>
      <c r="K45" s="95"/>
      <c r="L45" s="95"/>
      <c r="M45" s="95"/>
      <c r="N45" s="95"/>
      <c r="O45" s="95"/>
      <c r="P45" s="95"/>
      <c r="Q45" s="95"/>
    </row>
    <row r="46" spans="3:17" ht="11.25">
      <c r="C46" s="94" t="s">
        <v>35</v>
      </c>
      <c r="J46" s="95"/>
      <c r="K46" s="95"/>
      <c r="L46" s="95"/>
      <c r="M46" s="95"/>
      <c r="N46" s="95"/>
      <c r="O46" s="95"/>
      <c r="P46" s="95"/>
      <c r="Q46" s="95"/>
    </row>
    <row r="47" spans="3:17">
      <c r="J47" s="95"/>
      <c r="K47" s="95"/>
      <c r="L47" s="95"/>
      <c r="M47" s="95"/>
      <c r="N47" s="95"/>
      <c r="O47" s="95"/>
      <c r="P47" s="95"/>
      <c r="Q47" s="95"/>
    </row>
    <row r="48" spans="3:17">
      <c r="D48" s="168" t="s">
        <v>254</v>
      </c>
      <c r="J48" s="95">
        <f>Fcast_OP_TO!J98</f>
        <v>0</v>
      </c>
      <c r="K48" s="95">
        <f>Fcast_OP_TO!K98</f>
        <v>0</v>
      </c>
      <c r="L48" s="95">
        <f>Fcast_OP_TO!L98</f>
        <v>0</v>
      </c>
      <c r="M48" s="95">
        <f ca="1">Fcast_OP_TO!M98</f>
        <v>50</v>
      </c>
      <c r="N48" s="95">
        <f ca="1">Fcast_OP_TO!N98</f>
        <v>55</v>
      </c>
      <c r="O48" s="95">
        <f ca="1">Fcast_OP_TO!O98</f>
        <v>55</v>
      </c>
      <c r="P48" s="95">
        <f ca="1">Fcast_OP_TO!P98</f>
        <v>55</v>
      </c>
      <c r="Q48" s="95">
        <f ca="1">Fcast_OP_TO!Q98</f>
        <v>55</v>
      </c>
    </row>
    <row r="49" spans="2:17">
      <c r="D49" s="108" t="s">
        <v>4</v>
      </c>
      <c r="J49" s="144">
        <f ca="1">IF(J$12=0,0,OFFSET(BS_Hist_TO!$I$49,0,TS_Data_Total_Pers))</f>
        <v>0</v>
      </c>
      <c r="K49" s="144">
        <f ca="1">IF(K$12=0,0,OFFSET(BS_Hist_TO!$I$49,0,TS_Data_Total_Pers))</f>
        <v>0</v>
      </c>
      <c r="L49" s="144">
        <f ca="1">IF(L$12=0,0,OFFSET(BS_Hist_TO!$I$49,0,TS_Data_Total_Pers))</f>
        <v>0</v>
      </c>
      <c r="M49" s="144">
        <f ca="1">IF(M$12=0,0,OFFSET(BS_Hist_TO!$I$49,0,TS_Data_Total_Pers))</f>
        <v>0</v>
      </c>
      <c r="N49" s="144">
        <f ca="1">IF(N$12=0,0,OFFSET(BS_Hist_TO!$I$49,0,TS_Data_Total_Pers))</f>
        <v>0</v>
      </c>
      <c r="O49" s="144">
        <f ca="1">IF(O$12=0,0,OFFSET(BS_Hist_TO!$I$49,0,TS_Data_Total_Pers))</f>
        <v>0</v>
      </c>
      <c r="P49" s="144">
        <f ca="1">IF(P$12=0,0,OFFSET(BS_Hist_TO!$I$49,0,TS_Data_Total_Pers))</f>
        <v>0</v>
      </c>
      <c r="Q49" s="144">
        <f ca="1">IF(Q$12=0,0,OFFSET(BS_Hist_TO!$I$49,0,TS_Data_Total_Pers))</f>
        <v>0</v>
      </c>
    </row>
    <row r="50" spans="2:17" s="16" customFormat="1">
      <c r="D50" s="5" t="str">
        <f>Fcast_TA!D138</f>
        <v>Other Non-Current Liabilities</v>
      </c>
      <c r="J50" s="95">
        <f>Fcast_OP_TO!J208</f>
        <v>0</v>
      </c>
      <c r="K50" s="95">
        <f>Fcast_OP_TO!K208</f>
        <v>0</v>
      </c>
      <c r="L50" s="95">
        <f>Fcast_OP_TO!L208</f>
        <v>0</v>
      </c>
      <c r="M50" s="95">
        <f>Fcast_OP_TO!M208</f>
        <v>9</v>
      </c>
      <c r="N50" s="95">
        <f>Fcast_OP_TO!N208</f>
        <v>10</v>
      </c>
      <c r="O50" s="95">
        <f>Fcast_OP_TO!O208</f>
        <v>11</v>
      </c>
      <c r="P50" s="95">
        <f>Fcast_OP_TO!P208</f>
        <v>12</v>
      </c>
      <c r="Q50" s="95">
        <f>Fcast_OP_TO!Q208</f>
        <v>13</v>
      </c>
    </row>
    <row r="51" spans="2:17">
      <c r="D51" s="137" t="str">
        <f>"Total "&amp;C46</f>
        <v>Total Non-Current Liabilities</v>
      </c>
      <c r="J51" s="128">
        <f ca="1">SUM(J48:J50)</f>
        <v>0</v>
      </c>
      <c r="K51" s="128">
        <f t="shared" ref="K51:Q51" ca="1" si="13">SUM(K48:K50)</f>
        <v>0</v>
      </c>
      <c r="L51" s="128">
        <f t="shared" ca="1" si="13"/>
        <v>0</v>
      </c>
      <c r="M51" s="128">
        <f t="shared" ca="1" si="13"/>
        <v>59</v>
      </c>
      <c r="N51" s="128">
        <f t="shared" ca="1" si="13"/>
        <v>65</v>
      </c>
      <c r="O51" s="128">
        <f t="shared" ca="1" si="13"/>
        <v>66</v>
      </c>
      <c r="P51" s="128">
        <f t="shared" ca="1" si="13"/>
        <v>67</v>
      </c>
      <c r="Q51" s="128">
        <f t="shared" ca="1" si="13"/>
        <v>68</v>
      </c>
    </row>
    <row r="52" spans="2:17">
      <c r="J52" s="95"/>
      <c r="K52" s="95"/>
      <c r="L52" s="95"/>
      <c r="M52" s="95"/>
      <c r="N52" s="95"/>
      <c r="O52" s="95"/>
      <c r="P52" s="95"/>
      <c r="Q52" s="95"/>
    </row>
    <row r="53" spans="2:17" ht="11.25">
      <c r="C53" s="94" t="s">
        <v>36</v>
      </c>
      <c r="J53" s="141">
        <f t="shared" ref="J53:Q53" ca="1" si="14">J44+J51</f>
        <v>0</v>
      </c>
      <c r="K53" s="141">
        <f t="shared" ca="1" si="14"/>
        <v>0</v>
      </c>
      <c r="L53" s="141">
        <f t="shared" ca="1" si="14"/>
        <v>0</v>
      </c>
      <c r="M53" s="141">
        <f t="shared" ca="1" si="14"/>
        <v>89.47558415293237</v>
      </c>
      <c r="N53" s="141">
        <f t="shared" ca="1" si="14"/>
        <v>97.013098756755682</v>
      </c>
      <c r="O53" s="141">
        <f t="shared" ca="1" si="14"/>
        <v>99.565269975674568</v>
      </c>
      <c r="P53" s="141">
        <f t="shared" ca="1" si="14"/>
        <v>102.15582233010218</v>
      </c>
      <c r="Q53" s="141">
        <f t="shared" ca="1" si="14"/>
        <v>104.81255708069308</v>
      </c>
    </row>
    <row r="54" spans="2:17">
      <c r="J54" s="95"/>
      <c r="K54" s="95"/>
      <c r="L54" s="95"/>
      <c r="M54" s="95"/>
      <c r="N54" s="95"/>
      <c r="O54" s="95"/>
      <c r="P54" s="95"/>
      <c r="Q54" s="95"/>
    </row>
    <row r="55" spans="2:17" ht="12" thickBot="1">
      <c r="C55" s="94" t="s">
        <v>37</v>
      </c>
      <c r="J55" s="140">
        <f t="shared" ref="J55:Q55" ca="1" si="15">J35-J53</f>
        <v>0</v>
      </c>
      <c r="K55" s="140">
        <f t="shared" ca="1" si="15"/>
        <v>0</v>
      </c>
      <c r="L55" s="140">
        <f t="shared" ca="1" si="15"/>
        <v>0</v>
      </c>
      <c r="M55" s="140">
        <f t="shared" ca="1" si="15"/>
        <v>142.95285297650906</v>
      </c>
      <c r="N55" s="140">
        <f t="shared" ca="1" si="15"/>
        <v>159.58157370160674</v>
      </c>
      <c r="O55" s="140">
        <f t="shared" ca="1" si="15"/>
        <v>176.59649681983186</v>
      </c>
      <c r="P55" s="140">
        <f t="shared" ca="1" si="15"/>
        <v>194.06557426601262</v>
      </c>
      <c r="Q55" s="140">
        <f t="shared" ca="1" si="15"/>
        <v>212.00015989834787</v>
      </c>
    </row>
    <row r="56" spans="2:17" ht="11.25" thickTop="1">
      <c r="B56" s="16"/>
      <c r="C56" s="16"/>
      <c r="D56" s="16"/>
      <c r="J56" s="95"/>
      <c r="K56" s="95"/>
      <c r="L56" s="95"/>
      <c r="M56" s="95"/>
      <c r="N56" s="95"/>
      <c r="O56" s="95"/>
      <c r="P56" s="95"/>
      <c r="Q56" s="95"/>
    </row>
    <row r="57" spans="2:17" ht="11.25">
      <c r="C57" s="94" t="s">
        <v>38</v>
      </c>
      <c r="J57" s="95"/>
      <c r="K57" s="95"/>
      <c r="L57" s="95"/>
      <c r="M57" s="95"/>
      <c r="N57" s="95"/>
      <c r="O57" s="95"/>
      <c r="P57" s="95"/>
      <c r="Q57" s="95"/>
    </row>
    <row r="58" spans="2:17">
      <c r="J58" s="95"/>
      <c r="K58" s="95"/>
      <c r="L58" s="95"/>
      <c r="M58" s="95"/>
      <c r="N58" s="95"/>
      <c r="O58" s="95"/>
      <c r="P58" s="95"/>
      <c r="Q58" s="95"/>
    </row>
    <row r="59" spans="2:17">
      <c r="D59" s="108" t="s">
        <v>271</v>
      </c>
      <c r="J59" s="95">
        <f>Fcast_OP_TO!J124</f>
        <v>0</v>
      </c>
      <c r="K59" s="95">
        <f>Fcast_OP_TO!K124</f>
        <v>0</v>
      </c>
      <c r="L59" s="95">
        <f>Fcast_OP_TO!L124</f>
        <v>0</v>
      </c>
      <c r="M59" s="95">
        <f ca="1">Fcast_OP_TO!M124</f>
        <v>75</v>
      </c>
      <c r="N59" s="95">
        <f ca="1">Fcast_OP_TO!N124</f>
        <v>75</v>
      </c>
      <c r="O59" s="95">
        <f ca="1">Fcast_OP_TO!O124</f>
        <v>75</v>
      </c>
      <c r="P59" s="95">
        <f ca="1">Fcast_OP_TO!P124</f>
        <v>75</v>
      </c>
      <c r="Q59" s="95">
        <f ca="1">Fcast_OP_TO!Q124</f>
        <v>75</v>
      </c>
    </row>
    <row r="60" spans="2:17" s="16" customFormat="1">
      <c r="D60" s="171" t="s">
        <v>557</v>
      </c>
      <c r="J60" s="95">
        <f>Fcast_OP_TO!J214</f>
        <v>0</v>
      </c>
      <c r="K60" s="95">
        <f>Fcast_OP_TO!K214</f>
        <v>0</v>
      </c>
      <c r="L60" s="95">
        <f>Fcast_OP_TO!L214</f>
        <v>0</v>
      </c>
      <c r="M60" s="95">
        <f>Fcast_OP_TO!M214</f>
        <v>5.3999999999999986</v>
      </c>
      <c r="N60" s="95">
        <f>Fcast_OP_TO!N214</f>
        <v>5.4999999999999982</v>
      </c>
      <c r="O60" s="95">
        <f>Fcast_OP_TO!O214</f>
        <v>5.5999999999999979</v>
      </c>
      <c r="P60" s="95">
        <f>Fcast_OP_TO!P214</f>
        <v>5.6999999999999975</v>
      </c>
      <c r="Q60" s="95">
        <f>Fcast_OP_TO!Q214</f>
        <v>5.7999999999999972</v>
      </c>
    </row>
    <row r="61" spans="2:17" hidden="1" outlineLevel="2">
      <c r="E61" s="171" t="s">
        <v>245</v>
      </c>
      <c r="J61" s="95">
        <f>IF(J$12=0,0,IF(J$12=TS_Data_Full_Pers+1,Fcast_TA!$I$131,I64))</f>
        <v>0</v>
      </c>
      <c r="K61" s="95">
        <f>IF(K$12=0,0,IF(K$12=TS_Data_Full_Pers+1,Fcast_TA!$I$131,J64))</f>
        <v>0</v>
      </c>
      <c r="L61" s="95">
        <f>IF(L$12=0,0,IF(L$12=TS_Data_Full_Pers+1,Fcast_TA!$I$131,K64))</f>
        <v>0</v>
      </c>
      <c r="M61" s="95">
        <f ca="1">IF(M$12=0,0,IF(M$12=TS_Data_Full_Pers+1,Fcast_TA!$I$131,L64))</f>
        <v>46.399527878852751</v>
      </c>
      <c r="N61" s="95">
        <f ca="1">IF(N$12=0,0,IF(N$12=TS_Data_Full_Pers+1,Fcast_TA!$I$131,M64))</f>
        <v>62.552852976509001</v>
      </c>
      <c r="O61" s="95">
        <f ca="1">IF(O$12=0,0,IF(O$12=TS_Data_Full_Pers+1,Fcast_TA!$I$131,N64))</f>
        <v>79.081573701606658</v>
      </c>
      <c r="P61" s="95">
        <f ca="1">IF(P$12=0,0,IF(P$12=TS_Data_Full_Pers+1,Fcast_TA!$I$131,O64))</f>
        <v>95.996496819831762</v>
      </c>
      <c r="Q61" s="95">
        <f ca="1">IF(Q$12=0,0,IF(Q$12=TS_Data_Full_Pers+1,Fcast_TA!$I$131,P64))</f>
        <v>113.3655742660125</v>
      </c>
    </row>
    <row r="62" spans="2:17" hidden="1" outlineLevel="2">
      <c r="E62" s="108" t="s">
        <v>43</v>
      </c>
      <c r="J62" s="144">
        <f>IS_Fcast_TO!J39</f>
        <v>0</v>
      </c>
      <c r="K62" s="144">
        <f>IS_Fcast_TO!K39</f>
        <v>0</v>
      </c>
      <c r="L62" s="144">
        <f>IS_Fcast_TO!L39</f>
        <v>0</v>
      </c>
      <c r="M62" s="144">
        <f ca="1">IS_Fcast_TO!M39</f>
        <v>32.306650195312507</v>
      </c>
      <c r="N62" s="144">
        <f ca="1">IS_Fcast_TO!N39</f>
        <v>33.057441450195327</v>
      </c>
      <c r="O62" s="144">
        <f ca="1">IS_Fcast_TO!O39</f>
        <v>33.829846236450202</v>
      </c>
      <c r="P62" s="144">
        <f ca="1">IS_Fcast_TO!P39</f>
        <v>34.73815489236145</v>
      </c>
      <c r="Q62" s="144">
        <f ca="1">IS_Fcast_TO!Q39</f>
        <v>35.669171264670474</v>
      </c>
    </row>
    <row r="63" spans="2:17" hidden="1" outlineLevel="2">
      <c r="E63" s="108" t="s">
        <v>44</v>
      </c>
      <c r="J63" s="177">
        <f>-Fcast_OP_TO!J129</f>
        <v>0</v>
      </c>
      <c r="K63" s="177">
        <f>-Fcast_OP_TO!K129</f>
        <v>0</v>
      </c>
      <c r="L63" s="177">
        <f>-Fcast_OP_TO!L129</f>
        <v>0</v>
      </c>
      <c r="M63" s="177">
        <f ca="1">-Fcast_OP_TO!M129</f>
        <v>-16.153325097656253</v>
      </c>
      <c r="N63" s="177">
        <f ca="1">-Fcast_OP_TO!N129</f>
        <v>-16.528720725097664</v>
      </c>
      <c r="O63" s="177">
        <f ca="1">-Fcast_OP_TO!O129</f>
        <v>-16.914923118225101</v>
      </c>
      <c r="P63" s="177">
        <f ca="1">-Fcast_OP_TO!P129</f>
        <v>-17.369077446180725</v>
      </c>
      <c r="Q63" s="177">
        <f ca="1">-Fcast_OP_TO!Q129</f>
        <v>-17.834585632335237</v>
      </c>
    </row>
    <row r="64" spans="2:17" collapsed="1">
      <c r="D64" s="168" t="s">
        <v>39</v>
      </c>
      <c r="J64" s="144">
        <f>SUM(J61:J63)</f>
        <v>0</v>
      </c>
      <c r="K64" s="144">
        <f t="shared" ref="K64:Q64" si="16">SUM(K61:K63)</f>
        <v>0</v>
      </c>
      <c r="L64" s="144">
        <f t="shared" si="16"/>
        <v>0</v>
      </c>
      <c r="M64" s="144">
        <f t="shared" ca="1" si="16"/>
        <v>62.552852976509001</v>
      </c>
      <c r="N64" s="144">
        <f t="shared" ca="1" si="16"/>
        <v>79.081573701606658</v>
      </c>
      <c r="O64" s="144">
        <f t="shared" ca="1" si="16"/>
        <v>95.996496819831762</v>
      </c>
      <c r="P64" s="144">
        <f t="shared" ca="1" si="16"/>
        <v>113.3655742660125</v>
      </c>
      <c r="Q64" s="144">
        <f t="shared" ca="1" si="16"/>
        <v>131.20015989834775</v>
      </c>
    </row>
    <row r="65" spans="3:17">
      <c r="J65" s="95"/>
      <c r="K65" s="95"/>
      <c r="L65" s="95"/>
      <c r="M65" s="95"/>
      <c r="N65" s="95"/>
      <c r="O65" s="95"/>
      <c r="P65" s="95"/>
      <c r="Q65" s="95"/>
    </row>
    <row r="66" spans="3:17" ht="12" thickBot="1">
      <c r="C66" s="126" t="str">
        <f>"Total "&amp;C57</f>
        <v>Total Equity</v>
      </c>
      <c r="J66" s="140">
        <f>J59+J60+J64</f>
        <v>0</v>
      </c>
      <c r="K66" s="140">
        <f t="shared" ref="K66:Q66" si="17">K59+K60+K64</f>
        <v>0</v>
      </c>
      <c r="L66" s="140">
        <f t="shared" si="17"/>
        <v>0</v>
      </c>
      <c r="M66" s="140">
        <f t="shared" ca="1" si="17"/>
        <v>142.95285297650901</v>
      </c>
      <c r="N66" s="140">
        <f t="shared" ca="1" si="17"/>
        <v>159.58157370160666</v>
      </c>
      <c r="O66" s="140">
        <f t="shared" ca="1" si="17"/>
        <v>176.59649681983177</v>
      </c>
      <c r="P66" s="140">
        <f t="shared" ca="1" si="17"/>
        <v>194.0655742660125</v>
      </c>
      <c r="Q66" s="140">
        <f t="shared" ca="1" si="17"/>
        <v>212.00015989834776</v>
      </c>
    </row>
    <row r="67" spans="3:17" ht="11.25" thickTop="1">
      <c r="J67" s="176"/>
      <c r="K67" s="176"/>
      <c r="L67" s="176"/>
      <c r="M67" s="176"/>
      <c r="N67" s="176"/>
      <c r="O67" s="176"/>
      <c r="P67" s="176"/>
      <c r="Q67" s="176"/>
    </row>
    <row r="68" spans="3:17" hidden="1" outlineLevel="2">
      <c r="D68" s="171" t="s">
        <v>564</v>
      </c>
      <c r="J68" s="142">
        <f t="shared" ref="J68:Q68" ca="1" si="18">IF(ISERROR(J55-J66),1,0)</f>
        <v>0</v>
      </c>
      <c r="K68" s="142">
        <f t="shared" ca="1" si="18"/>
        <v>0</v>
      </c>
      <c r="L68" s="142">
        <f t="shared" ca="1" si="18"/>
        <v>0</v>
      </c>
      <c r="M68" s="142">
        <f t="shared" ca="1" si="18"/>
        <v>0</v>
      </c>
      <c r="N68" s="142">
        <f t="shared" ca="1" si="18"/>
        <v>0</v>
      </c>
      <c r="O68" s="142">
        <f t="shared" ca="1" si="18"/>
        <v>0</v>
      </c>
      <c r="P68" s="142">
        <f t="shared" ca="1" si="18"/>
        <v>0</v>
      </c>
      <c r="Q68" s="142">
        <f t="shared" ca="1" si="18"/>
        <v>0</v>
      </c>
    </row>
    <row r="69" spans="3:17" hidden="1" outlineLevel="2">
      <c r="D69" s="171" t="s">
        <v>565</v>
      </c>
      <c r="J69" s="125">
        <f t="shared" ref="J69:Q69" ca="1" si="19">IF(J68&lt;&gt;0,0,(ROUND(J55-J66,5)&lt;&gt;0)*1)</f>
        <v>0</v>
      </c>
      <c r="K69" s="125">
        <f t="shared" ca="1" si="19"/>
        <v>0</v>
      </c>
      <c r="L69" s="125">
        <f t="shared" ca="1" si="19"/>
        <v>0</v>
      </c>
      <c r="M69" s="125">
        <f t="shared" ca="1" si="19"/>
        <v>0</v>
      </c>
      <c r="N69" s="125">
        <f t="shared" ca="1" si="19"/>
        <v>0</v>
      </c>
      <c r="O69" s="125">
        <f t="shared" ca="1" si="19"/>
        <v>0</v>
      </c>
      <c r="P69" s="125">
        <f t="shared" ca="1" si="19"/>
        <v>0</v>
      </c>
      <c r="Q69" s="125">
        <f t="shared" ca="1" si="19"/>
        <v>0</v>
      </c>
    </row>
    <row r="70" spans="3:17" collapsed="1">
      <c r="C70" s="168" t="s">
        <v>415</v>
      </c>
      <c r="I70" s="99">
        <f ca="1">IF(ISERROR(SUM(J70:Q70)),0,MIN(SUM(J70:Q70),1))</f>
        <v>0</v>
      </c>
      <c r="J70" s="96">
        <f t="shared" ref="J70:Q70" ca="1" si="20">MIN(SUM(J68:J69),1)</f>
        <v>0</v>
      </c>
      <c r="K70" s="96">
        <f t="shared" ca="1" si="20"/>
        <v>0</v>
      </c>
      <c r="L70" s="96">
        <f t="shared" ca="1" si="20"/>
        <v>0</v>
      </c>
      <c r="M70" s="96">
        <f t="shared" ca="1" si="20"/>
        <v>0</v>
      </c>
      <c r="N70" s="96">
        <f t="shared" ca="1" si="20"/>
        <v>0</v>
      </c>
      <c r="O70" s="96">
        <f t="shared" ca="1" si="20"/>
        <v>0</v>
      </c>
      <c r="P70" s="96">
        <f t="shared" ca="1" si="20"/>
        <v>0</v>
      </c>
      <c r="Q70" s="96">
        <f t="shared" ca="1" si="20"/>
        <v>0</v>
      </c>
    </row>
    <row r="71" spans="3:17" hidden="1" outlineLevel="2"/>
    <row r="72" spans="3:17" collapsed="1">
      <c r="C72" s="168" t="s">
        <v>420</v>
      </c>
      <c r="I72" s="99">
        <f ca="1">IF(ISERROR(SUM(J72:Q72)),0,MIN(SUM(J72:Q72),1))</f>
        <v>0</v>
      </c>
      <c r="J72" s="96">
        <f t="shared" ref="J72:Q72" si="21">IF(ISERROR(J22),0,(J22&lt;0)*1)</f>
        <v>0</v>
      </c>
      <c r="K72" s="96">
        <f t="shared" si="21"/>
        <v>0</v>
      </c>
      <c r="L72" s="96">
        <f t="shared" si="21"/>
        <v>0</v>
      </c>
      <c r="M72" s="96">
        <f t="shared" ca="1" si="21"/>
        <v>0</v>
      </c>
      <c r="N72" s="96">
        <f t="shared" ca="1" si="21"/>
        <v>0</v>
      </c>
      <c r="O72" s="96">
        <f t="shared" ca="1" si="21"/>
        <v>0</v>
      </c>
      <c r="P72" s="96">
        <f t="shared" ca="1" si="21"/>
        <v>0</v>
      </c>
      <c r="Q72" s="96">
        <f t="shared" ca="1" si="21"/>
        <v>0</v>
      </c>
    </row>
    <row r="74" spans="3:17" s="16" customFormat="1">
      <c r="C74" s="172" t="s">
        <v>203</v>
      </c>
      <c r="J74" s="176"/>
      <c r="K74" s="176"/>
      <c r="L74" s="176"/>
      <c r="M74" s="176"/>
      <c r="N74" s="176"/>
      <c r="O74" s="176"/>
      <c r="P74" s="176"/>
      <c r="Q74" s="176"/>
    </row>
    <row r="75" spans="3:17" s="16" customFormat="1">
      <c r="C75" s="139">
        <v>1</v>
      </c>
      <c r="D75" s="215" t="str">
        <f>"All balances are specified in "&amp;INDEX(LU_Denom,DD_TS_Denom)&amp;"."</f>
        <v>All balances are specified in $Millions.</v>
      </c>
    </row>
    <row r="76" spans="3:17" s="16" customFormat="1"/>
    <row r="77" spans="3:17">
      <c r="C77" s="107" t="str">
        <f>"Go to "&amp;Err_Chk_11_Hdg</f>
        <v>Go to Income Statement - Forecast Outputs</v>
      </c>
      <c r="D77" s="9"/>
      <c r="E77" s="9"/>
      <c r="F77" s="9"/>
      <c r="G77" s="9"/>
      <c r="H77" s="9"/>
      <c r="I77" s="9"/>
    </row>
    <row r="78" spans="3:17">
      <c r="C78" s="107" t="str">
        <f>"Go to "&amp;Err_Chk_14_Hdg</f>
        <v>Go to Cash Flow Statement - Forecast Outputs</v>
      </c>
      <c r="D78" s="9"/>
      <c r="E78" s="9"/>
      <c r="F78" s="9"/>
      <c r="G78" s="9"/>
      <c r="H78" s="9"/>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pageSetUpPr autoPageBreaks="0"/>
  </sheetPr>
  <dimension ref="A1:Q120"/>
  <sheetViews>
    <sheetView showGridLines="0" zoomScaleNormal="100" workbookViewId="0">
      <pane xSplit="1" ySplit="13" topLeftCell="B14" activePane="bottomRight" state="frozen"/>
      <selection pane="topRight"/>
      <selection pane="bottomLeft"/>
      <selection pane="bottomRight"/>
    </sheetView>
  </sheetViews>
  <sheetFormatPr defaultColWidth="12.83203125" defaultRowHeight="10.5" outlineLevelRow="2"/>
  <cols>
    <col min="1" max="5" width="3.83203125" customWidth="1"/>
    <col min="10" max="12" width="12.83203125" customWidth="1"/>
  </cols>
  <sheetData>
    <row r="1" spans="1:17" ht="18">
      <c r="B1" s="1" t="s">
        <v>545</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425</v>
      </c>
    </row>
    <row r="18" spans="3:17" ht="11.25">
      <c r="C18" s="94" t="s">
        <v>15</v>
      </c>
    </row>
    <row r="20" spans="3:17" hidden="1" outlineLevel="2">
      <c r="E20" s="5" t="str">
        <f>Fcast_OP_TO!C18</f>
        <v>Revenue</v>
      </c>
      <c r="J20" s="95">
        <f>Fcast_OP_TO!J18</f>
        <v>0</v>
      </c>
      <c r="K20" s="95">
        <f>Fcast_OP_TO!K18</f>
        <v>0</v>
      </c>
      <c r="L20" s="95">
        <f>Fcast_OP_TO!L18</f>
        <v>0</v>
      </c>
      <c r="M20" s="95">
        <f>Fcast_OP_TO!M18</f>
        <v>134.611328125</v>
      </c>
      <c r="N20" s="95">
        <f>Fcast_OP_TO!N18</f>
        <v>137.97661132812499</v>
      </c>
      <c r="O20" s="95">
        <f>Fcast_OP_TO!O18</f>
        <v>141.4260266113281</v>
      </c>
      <c r="P20" s="95">
        <f>Fcast_OP_TO!P18</f>
        <v>144.96167727661128</v>
      </c>
      <c r="Q20" s="95">
        <f>Fcast_OP_TO!Q18</f>
        <v>148.58571920852654</v>
      </c>
    </row>
    <row r="21" spans="3:17" hidden="1" outlineLevel="2">
      <c r="E21" s="108" t="s">
        <v>421</v>
      </c>
      <c r="J21" s="123">
        <f>-Fcast_OP_TO!J32</f>
        <v>0</v>
      </c>
      <c r="K21" s="123">
        <f>-Fcast_OP_TO!K32</f>
        <v>0</v>
      </c>
      <c r="L21" s="123">
        <f>-Fcast_OP_TO!L32</f>
        <v>0</v>
      </c>
      <c r="M21" s="123">
        <f ca="1">-Fcast_OP_TO!M32</f>
        <v>-0.29934436756118998</v>
      </c>
      <c r="N21" s="123">
        <f>-Fcast_OP_TO!N32</f>
        <v>-0.27659861943493524</v>
      </c>
      <c r="O21" s="123">
        <f>-Fcast_OP_TO!O32</f>
        <v>-0.28351358492079726</v>
      </c>
      <c r="P21" s="123">
        <f>-Fcast_OP_TO!P32</f>
        <v>-0.25804771305121221</v>
      </c>
      <c r="Q21" s="123">
        <f>-Fcast_OP_TO!Q32</f>
        <v>-0.3304201716500188</v>
      </c>
    </row>
    <row r="22" spans="3:17" collapsed="1">
      <c r="D22" s="171" t="s">
        <v>238</v>
      </c>
      <c r="J22" s="95">
        <f>J20+J21</f>
        <v>0</v>
      </c>
      <c r="K22" s="95">
        <f t="shared" ref="K22:Q22" si="8">K20+K21</f>
        <v>0</v>
      </c>
      <c r="L22" s="95">
        <f t="shared" si="8"/>
        <v>0</v>
      </c>
      <c r="M22" s="95">
        <f t="shared" ca="1" si="8"/>
        <v>134.31198375743881</v>
      </c>
      <c r="N22" s="95">
        <f t="shared" si="8"/>
        <v>137.70001270869005</v>
      </c>
      <c r="O22" s="95">
        <f t="shared" si="8"/>
        <v>141.1425130264073</v>
      </c>
      <c r="P22" s="95">
        <f t="shared" si="8"/>
        <v>144.70362956356007</v>
      </c>
      <c r="Q22" s="95">
        <f t="shared" si="8"/>
        <v>148.25529903687652</v>
      </c>
    </row>
    <row r="23" spans="3:17" hidden="1" outlineLevel="2">
      <c r="D23" s="5"/>
      <c r="E23" s="5" t="str">
        <f>Fcast_OP_TO!C19</f>
        <v>Cost of Goods Sold</v>
      </c>
      <c r="J23" s="95">
        <f>-Fcast_OP_TO!J19</f>
        <v>0</v>
      </c>
      <c r="K23" s="95">
        <f>-Fcast_OP_TO!K19</f>
        <v>0</v>
      </c>
      <c r="L23" s="95">
        <f>-Fcast_OP_TO!L19</f>
        <v>0</v>
      </c>
      <c r="M23" s="95">
        <f>-Fcast_OP_TO!M19</f>
        <v>-26.922265624999991</v>
      </c>
      <c r="N23" s="95">
        <f>-Fcast_OP_TO!N19</f>
        <v>-27.59532226562499</v>
      </c>
      <c r="O23" s="95">
        <f>-Fcast_OP_TO!O19</f>
        <v>-28.285205322265611</v>
      </c>
      <c r="P23" s="95">
        <f>-Fcast_OP_TO!P19</f>
        <v>-28.992335455322248</v>
      </c>
      <c r="Q23" s="95">
        <f>-Fcast_OP_TO!Q19</f>
        <v>-29.717143841705301</v>
      </c>
    </row>
    <row r="24" spans="3:17" s="16" customFormat="1" hidden="1" outlineLevel="2">
      <c r="D24" s="5"/>
      <c r="E24" s="5" t="str">
        <f>Fcast_OP_TO!C20</f>
        <v>Operating Expenditure</v>
      </c>
      <c r="J24" s="95">
        <f>-Fcast_OP_TO!J20</f>
        <v>0</v>
      </c>
      <c r="K24" s="95">
        <f>-Fcast_OP_TO!K20</f>
        <v>0</v>
      </c>
      <c r="L24" s="95">
        <f>-Fcast_OP_TO!L20</f>
        <v>0</v>
      </c>
      <c r="M24" s="95">
        <f>-Fcast_OP_TO!M20</f>
        <v>-43.075624999999995</v>
      </c>
      <c r="N24" s="95">
        <f>-Fcast_OP_TO!N20</f>
        <v>-44.152515624999992</v>
      </c>
      <c r="O24" s="95">
        <f>-Fcast_OP_TO!O20</f>
        <v>-45.256328515624986</v>
      </c>
      <c r="P24" s="95">
        <f>-Fcast_OP_TO!P20</f>
        <v>-46.387736728515605</v>
      </c>
      <c r="Q24" s="95">
        <f>-Fcast_OP_TO!Q20</f>
        <v>-47.547430146728495</v>
      </c>
    </row>
    <row r="25" spans="3:17" hidden="1" outlineLevel="2">
      <c r="D25" s="5"/>
      <c r="E25" s="108" t="s">
        <v>422</v>
      </c>
      <c r="J25" s="123">
        <f>Fcast_OP_TO!J49</f>
        <v>0</v>
      </c>
      <c r="K25" s="123">
        <f>Fcast_OP_TO!K49</f>
        <v>0</v>
      </c>
      <c r="L25" s="123">
        <f>Fcast_OP_TO!L49</f>
        <v>0</v>
      </c>
      <c r="M25" s="123">
        <f ca="1">Fcast_OP_TO!M49</f>
        <v>0.2334886066977333</v>
      </c>
      <c r="N25" s="123">
        <f>Fcast_OP_TO!N49</f>
        <v>0.21574692315924437</v>
      </c>
      <c r="O25" s="123">
        <f>Fcast_OP_TO!O49</f>
        <v>0.22114059623822868</v>
      </c>
      <c r="P25" s="123">
        <f>Fcast_OP_TO!P49</f>
        <v>0.20127721617994609</v>
      </c>
      <c r="Q25" s="123">
        <f>Fcast_OP_TO!Q49</f>
        <v>0.25772773388702319</v>
      </c>
    </row>
    <row r="26" spans="3:17" collapsed="1">
      <c r="D26" s="171" t="s">
        <v>243</v>
      </c>
      <c r="J26" s="95">
        <f>SUM(J23:J25)</f>
        <v>0</v>
      </c>
      <c r="K26" s="95">
        <f t="shared" ref="K26:Q26" si="9">SUM(K23:K25)</f>
        <v>0</v>
      </c>
      <c r="L26" s="95">
        <f t="shared" si="9"/>
        <v>0</v>
      </c>
      <c r="M26" s="95">
        <f t="shared" ca="1" si="9"/>
        <v>-69.764402018302249</v>
      </c>
      <c r="N26" s="95">
        <f t="shared" si="9"/>
        <v>-71.532090967465734</v>
      </c>
      <c r="O26" s="95">
        <f t="shared" si="9"/>
        <v>-73.320393241652368</v>
      </c>
      <c r="P26" s="95">
        <f t="shared" si="9"/>
        <v>-75.178794967657907</v>
      </c>
      <c r="Q26" s="95">
        <f t="shared" si="9"/>
        <v>-77.006846254546772</v>
      </c>
    </row>
    <row r="27" spans="3:17">
      <c r="D27" s="5" t="str">
        <f>Fcast_OP_TO!E114</f>
        <v>Interest Paid</v>
      </c>
      <c r="J27" s="95">
        <f>Fcast_OP_TO!J114</f>
        <v>0</v>
      </c>
      <c r="K27" s="95">
        <f>Fcast_OP_TO!K114</f>
        <v>0</v>
      </c>
      <c r="L27" s="95">
        <f>Fcast_OP_TO!L114</f>
        <v>0</v>
      </c>
      <c r="M27" s="95">
        <f ca="1">Fcast_OP_TO!M114</f>
        <v>-3.25</v>
      </c>
      <c r="N27" s="95">
        <f ca="1">Fcast_OP_TO!N114</f>
        <v>-3.4125000000000001</v>
      </c>
      <c r="O27" s="95">
        <f ca="1">Fcast_OP_TO!O114</f>
        <v>-3.5750000000000002</v>
      </c>
      <c r="P27" s="95">
        <f ca="1">Fcast_OP_TO!P114</f>
        <v>-3.5750000000000002</v>
      </c>
      <c r="Q27" s="95">
        <f ca="1">Fcast_OP_TO!Q114</f>
        <v>-3.5750000000000002</v>
      </c>
    </row>
    <row r="28" spans="3:17">
      <c r="D28" s="5" t="str">
        <f>Fcast_OP_TO!D180</f>
        <v>Tax Paid</v>
      </c>
      <c r="J28" s="95">
        <f>Fcast_OP_TO!J180</f>
        <v>0</v>
      </c>
      <c r="K28" s="95">
        <f>Fcast_OP_TO!K180</f>
        <v>0</v>
      </c>
      <c r="L28" s="95">
        <f>Fcast_OP_TO!L180</f>
        <v>0</v>
      </c>
      <c r="M28" s="95">
        <f ca="1">Fcast_OP_TO!M180</f>
        <v>-13.484226562500004</v>
      </c>
      <c r="N28" s="95">
        <f ca="1">Fcast_OP_TO!N180</f>
        <v>-13.845707226562503</v>
      </c>
      <c r="O28" s="95">
        <f ca="1">Fcast_OP_TO!O180</f>
        <v>-14.167474907226566</v>
      </c>
      <c r="P28" s="95">
        <f ca="1">Fcast_OP_TO!P180</f>
        <v>-14.498505529907227</v>
      </c>
      <c r="Q28" s="95">
        <f ca="1">Fcast_OP_TO!Q180</f>
        <v>-14.887780668154907</v>
      </c>
    </row>
    <row r="29" spans="3:17" s="16" customFormat="1">
      <c r="D29" s="171" t="s">
        <v>493</v>
      </c>
      <c r="J29" s="95">
        <f>-Fcast_OP_TO!J189</f>
        <v>0</v>
      </c>
      <c r="K29" s="95">
        <f>-Fcast_OP_TO!K189</f>
        <v>0</v>
      </c>
      <c r="L29" s="95">
        <f>-Fcast_OP_TO!L189</f>
        <v>0</v>
      </c>
      <c r="M29" s="95">
        <f ca="1">-Fcast_OP_TO!M189</f>
        <v>-1</v>
      </c>
      <c r="N29" s="95">
        <f>-Fcast_OP_TO!N189</f>
        <v>-1</v>
      </c>
      <c r="O29" s="95">
        <f>-Fcast_OP_TO!O189</f>
        <v>-1</v>
      </c>
      <c r="P29" s="95">
        <f>-Fcast_OP_TO!P189</f>
        <v>-1</v>
      </c>
      <c r="Q29" s="95">
        <f>-Fcast_OP_TO!Q189</f>
        <v>-1</v>
      </c>
    </row>
    <row r="30" spans="3:17" s="16" customFormat="1">
      <c r="D30" s="171" t="s">
        <v>494</v>
      </c>
      <c r="J30" s="95">
        <f>Fcast_OP_TO!J201</f>
        <v>0</v>
      </c>
      <c r="K30" s="95">
        <f>Fcast_OP_TO!K201</f>
        <v>0</v>
      </c>
      <c r="L30" s="95">
        <f>Fcast_OP_TO!L201</f>
        <v>0</v>
      </c>
      <c r="M30" s="95">
        <f ca="1">Fcast_OP_TO!M201</f>
        <v>1</v>
      </c>
      <c r="N30" s="95">
        <f>Fcast_OP_TO!N201</f>
        <v>1</v>
      </c>
      <c r="O30" s="95">
        <f>Fcast_OP_TO!O201</f>
        <v>1</v>
      </c>
      <c r="P30" s="95">
        <f>Fcast_OP_TO!P201</f>
        <v>1</v>
      </c>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c r="J32" s="95"/>
      <c r="K32" s="95"/>
      <c r="L32" s="95"/>
      <c r="M32" s="95"/>
      <c r="N32" s="95"/>
      <c r="O32" s="95"/>
      <c r="P32" s="95"/>
      <c r="Q32" s="95"/>
    </row>
    <row r="33" spans="3:17" ht="11.25">
      <c r="C33" s="94" t="s">
        <v>16</v>
      </c>
      <c r="J33" s="95"/>
      <c r="K33" s="95"/>
      <c r="L33" s="95"/>
      <c r="M33" s="95"/>
      <c r="N33" s="95"/>
      <c r="O33" s="95"/>
      <c r="P33" s="95"/>
      <c r="Q33" s="95"/>
    </row>
    <row r="34" spans="3:17">
      <c r="J34" s="95"/>
      <c r="K34" s="95"/>
      <c r="L34" s="95"/>
      <c r="M34" s="95"/>
      <c r="N34" s="95"/>
      <c r="O34" s="95"/>
      <c r="P34" s="95"/>
      <c r="Q34" s="95"/>
    </row>
    <row r="35" spans="3:17">
      <c r="D35" s="5" t="str">
        <f>Fcast_OP_TO!C21</f>
        <v>Capital Expenditure - Assets</v>
      </c>
      <c r="J35" s="95">
        <f>-Fcast_OP_TO!J21</f>
        <v>0</v>
      </c>
      <c r="K35" s="95">
        <f>-Fcast_OP_TO!K21</f>
        <v>0</v>
      </c>
      <c r="L35" s="95">
        <f>-Fcast_OP_TO!L21</f>
        <v>0</v>
      </c>
      <c r="M35" s="95">
        <f>-Fcast_OP_TO!M21</f>
        <v>-16.153359374999994</v>
      </c>
      <c r="N35" s="95">
        <f>-Fcast_OP_TO!N21</f>
        <v>-16.557193359374992</v>
      </c>
      <c r="O35" s="95">
        <f>-Fcast_OP_TO!O21</f>
        <v>-16.971123193359364</v>
      </c>
      <c r="P35" s="95">
        <f>-Fcast_OP_TO!P21</f>
        <v>-17.395401273193347</v>
      </c>
      <c r="Q35" s="95">
        <f>-Fcast_OP_TO!Q21</f>
        <v>-17.830286305023179</v>
      </c>
    </row>
    <row r="36" spans="3:17">
      <c r="D36" s="5" t="str">
        <f>Fcast_OP_TO!C22</f>
        <v>Capital Expenditure - Intangibles</v>
      </c>
      <c r="J36" s="95">
        <f>-Fcast_OP_TO!J22</f>
        <v>0</v>
      </c>
      <c r="K36" s="95">
        <f>-Fcast_OP_TO!K22</f>
        <v>0</v>
      </c>
      <c r="L36" s="95">
        <f>-Fcast_OP_TO!L22</f>
        <v>0</v>
      </c>
      <c r="M36" s="95">
        <f>-Fcast_OP_TO!M22</f>
        <v>-2.6922265624999997</v>
      </c>
      <c r="N36" s="95">
        <f>-Fcast_OP_TO!N22</f>
        <v>-2.7595322265624995</v>
      </c>
      <c r="O36" s="95">
        <f>-Fcast_OP_TO!O22</f>
        <v>-2.8285205322265616</v>
      </c>
      <c r="P36" s="95">
        <f>-Fcast_OP_TO!P22</f>
        <v>-2.8992335455322253</v>
      </c>
      <c r="Q36" s="95">
        <f>-Fcast_OP_TO!Q22</f>
        <v>-2.9717143841705309</v>
      </c>
    </row>
    <row r="37" spans="3:17" s="16" customFormat="1">
      <c r="D37" s="168" t="s">
        <v>495</v>
      </c>
      <c r="J37" s="95">
        <f>-Fcast_OP_TO!J195</f>
        <v>0</v>
      </c>
      <c r="K37" s="95">
        <f>-Fcast_OP_TO!K195</f>
        <v>0</v>
      </c>
      <c r="L37" s="95">
        <f>-Fcast_OP_TO!L195</f>
        <v>0</v>
      </c>
      <c r="M37" s="95">
        <f ca="1">-Fcast_OP_TO!M195</f>
        <v>-1</v>
      </c>
      <c r="N37" s="95">
        <f>-Fcast_OP_TO!N195</f>
        <v>-1</v>
      </c>
      <c r="O37" s="95">
        <f>-Fcast_OP_TO!O195</f>
        <v>-1</v>
      </c>
      <c r="P37" s="95">
        <f>-Fcast_OP_TO!P195</f>
        <v>-1</v>
      </c>
      <c r="Q37" s="95">
        <f>-Fcast_OP_TO!Q195</f>
        <v>-1</v>
      </c>
    </row>
    <row r="38" spans="3:17" s="16" customFormat="1">
      <c r="D38" s="168" t="s">
        <v>496</v>
      </c>
      <c r="J38" s="95">
        <f>Fcast_OP_TO!J207</f>
        <v>0</v>
      </c>
      <c r="K38" s="95">
        <f>Fcast_OP_TO!K207</f>
        <v>0</v>
      </c>
      <c r="L38" s="95">
        <f>Fcast_OP_TO!L207</f>
        <v>0</v>
      </c>
      <c r="M38" s="95">
        <f ca="1">Fcast_OP_TO!M207</f>
        <v>1</v>
      </c>
      <c r="N38" s="95">
        <f>Fcast_OP_TO!N207</f>
        <v>1</v>
      </c>
      <c r="O38" s="95">
        <f>Fcast_OP_TO!O207</f>
        <v>1</v>
      </c>
      <c r="P38" s="95">
        <f>Fcast_OP_TO!P207</f>
        <v>1</v>
      </c>
      <c r="Q38" s="95">
        <f>Fcast_OP_TO!Q207</f>
        <v>1</v>
      </c>
    </row>
    <row r="39" spans="3:17">
      <c r="D39" s="137" t="str">
        <f>"Net "&amp;C33</f>
        <v>Net Cash Flow from Investing Activities</v>
      </c>
      <c r="J39" s="141">
        <f>SUM(J35:J38)</f>
        <v>0</v>
      </c>
      <c r="K39" s="141">
        <f t="shared" ref="K39:Q39" si="11">SUM(K35:K38)</f>
        <v>0</v>
      </c>
      <c r="L39" s="141">
        <f t="shared" si="11"/>
        <v>0</v>
      </c>
      <c r="M39" s="141">
        <f t="shared" ca="1" si="11"/>
        <v>-18.845585937499994</v>
      </c>
      <c r="N39" s="141">
        <f t="shared" si="11"/>
        <v>-19.31672558593749</v>
      </c>
      <c r="O39" s="141">
        <f t="shared" si="11"/>
        <v>-19.799643725585927</v>
      </c>
      <c r="P39" s="141">
        <f t="shared" si="11"/>
        <v>-20.294634818725573</v>
      </c>
      <c r="Q39" s="141">
        <f t="shared" si="11"/>
        <v>-20.802000689193711</v>
      </c>
    </row>
    <row r="40" spans="3:17">
      <c r="J40" s="95"/>
      <c r="K40" s="95"/>
      <c r="L40" s="95"/>
      <c r="M40" s="95"/>
      <c r="N40" s="95"/>
      <c r="O40" s="95"/>
      <c r="P40" s="95"/>
      <c r="Q40" s="95"/>
    </row>
    <row r="41" spans="3:17" ht="11.25">
      <c r="C41" s="94" t="s">
        <v>17</v>
      </c>
      <c r="J41" s="95"/>
      <c r="K41" s="95"/>
      <c r="L41" s="95"/>
      <c r="M41" s="95"/>
      <c r="N41" s="95"/>
      <c r="O41" s="95"/>
      <c r="P41" s="95"/>
      <c r="Q41" s="95"/>
    </row>
    <row r="42" spans="3:17">
      <c r="J42" s="95"/>
      <c r="K42" s="95"/>
      <c r="L42" s="95"/>
      <c r="M42" s="95"/>
      <c r="N42" s="95"/>
      <c r="O42" s="95"/>
      <c r="P42" s="95"/>
      <c r="Q42" s="95"/>
    </row>
    <row r="43" spans="3:17">
      <c r="D43" s="5" t="str">
        <f>Fcast_OP_TO!E96</f>
        <v>Debt Drawdowns</v>
      </c>
      <c r="J43" s="95">
        <f>Fcast_OP_TO!J96</f>
        <v>0</v>
      </c>
      <c r="K43" s="95">
        <f>Fcast_OP_TO!K96</f>
        <v>0</v>
      </c>
      <c r="L43" s="95">
        <f>Fcast_OP_TO!L96</f>
        <v>0</v>
      </c>
      <c r="M43" s="95">
        <f>Fcast_OP_TO!M96</f>
        <v>0</v>
      </c>
      <c r="N43" s="95">
        <f>Fcast_OP_TO!N96</f>
        <v>50</v>
      </c>
      <c r="O43" s="95">
        <f>Fcast_OP_TO!O96</f>
        <v>0</v>
      </c>
      <c r="P43" s="95">
        <f>Fcast_OP_TO!P96</f>
        <v>0</v>
      </c>
      <c r="Q43" s="95">
        <f>Fcast_OP_TO!Q96</f>
        <v>0</v>
      </c>
    </row>
    <row r="44" spans="3:17">
      <c r="D44" s="5" t="str">
        <f>Fcast_OP_TO!E97</f>
        <v>Debt Repayments</v>
      </c>
      <c r="J44" s="95">
        <f>Fcast_OP_TO!J97</f>
        <v>0</v>
      </c>
      <c r="K44" s="95">
        <f>Fcast_OP_TO!K97</f>
        <v>0</v>
      </c>
      <c r="L44" s="95">
        <f>Fcast_OP_TO!L97</f>
        <v>0</v>
      </c>
      <c r="M44" s="95">
        <f>Fcast_OP_TO!M97</f>
        <v>0</v>
      </c>
      <c r="N44" s="95">
        <f>Fcast_OP_TO!N97</f>
        <v>-45</v>
      </c>
      <c r="O44" s="95">
        <f>Fcast_OP_TO!O97</f>
        <v>0</v>
      </c>
      <c r="P44" s="95">
        <f>Fcast_OP_TO!P97</f>
        <v>0</v>
      </c>
      <c r="Q44" s="95">
        <f>Fcast_OP_TO!Q97</f>
        <v>0</v>
      </c>
    </row>
    <row r="45" spans="3:17">
      <c r="D45" s="5" t="str">
        <f>Fcast_OP_TO!E122</f>
        <v>Equity Raisings</v>
      </c>
      <c r="J45" s="95">
        <f>Fcast_OP_TO!J122</f>
        <v>0</v>
      </c>
      <c r="K45" s="95">
        <f>Fcast_OP_TO!K122</f>
        <v>0</v>
      </c>
      <c r="L45" s="95">
        <f>Fcast_OP_TO!L122</f>
        <v>0</v>
      </c>
      <c r="M45" s="95">
        <f>Fcast_OP_TO!M122</f>
        <v>0</v>
      </c>
      <c r="N45" s="95">
        <f>Fcast_OP_TO!N122</f>
        <v>0</v>
      </c>
      <c r="O45" s="95">
        <f>Fcast_OP_TO!O122</f>
        <v>0</v>
      </c>
      <c r="P45" s="95">
        <f>Fcast_OP_TO!P122</f>
        <v>0</v>
      </c>
      <c r="Q45" s="95">
        <f>Fcast_OP_TO!Q122</f>
        <v>0</v>
      </c>
    </row>
    <row r="46" spans="3:17">
      <c r="D46" s="5" t="str">
        <f>Fcast_OP_TO!E123</f>
        <v>Equity Repayments</v>
      </c>
      <c r="J46" s="95">
        <f>Fcast_OP_TO!J123</f>
        <v>0</v>
      </c>
      <c r="K46" s="95">
        <f>Fcast_OP_TO!K123</f>
        <v>0</v>
      </c>
      <c r="L46" s="95">
        <f>Fcast_OP_TO!L123</f>
        <v>0</v>
      </c>
      <c r="M46" s="95">
        <f>Fcast_OP_TO!M123</f>
        <v>0</v>
      </c>
      <c r="N46" s="95">
        <f>Fcast_OP_TO!N123</f>
        <v>0</v>
      </c>
      <c r="O46" s="95">
        <f>Fcast_OP_TO!O123</f>
        <v>0</v>
      </c>
      <c r="P46" s="95">
        <f>Fcast_OP_TO!P123</f>
        <v>0</v>
      </c>
      <c r="Q46" s="95">
        <f>Fcast_OP_TO!Q123</f>
        <v>0</v>
      </c>
    </row>
    <row r="47" spans="3:17">
      <c r="D47" s="5" t="str">
        <f>Fcast_OP_TO!E130</f>
        <v>Dividends Paid During Period</v>
      </c>
      <c r="J47" s="95">
        <f>Fcast_OP_TO!J130</f>
        <v>0</v>
      </c>
      <c r="K47" s="95">
        <f>Fcast_OP_TO!K130</f>
        <v>0</v>
      </c>
      <c r="L47" s="95">
        <f>Fcast_OP_TO!L130</f>
        <v>0</v>
      </c>
      <c r="M47" s="95">
        <f ca="1">Fcast_OP_TO!M130</f>
        <v>-16.153325097656253</v>
      </c>
      <c r="N47" s="95">
        <f ca="1">Fcast_OP_TO!N130</f>
        <v>-16.528720725097664</v>
      </c>
      <c r="O47" s="95">
        <f ca="1">Fcast_OP_TO!O130</f>
        <v>-16.914923118225101</v>
      </c>
      <c r="P47" s="95">
        <f ca="1">Fcast_OP_TO!P130</f>
        <v>-17.369077446180725</v>
      </c>
      <c r="Q47" s="95">
        <f ca="1">Fcast_OP_TO!Q130</f>
        <v>-17.834585632335237</v>
      </c>
    </row>
    <row r="48" spans="3:17" s="16" customFormat="1">
      <c r="D48" s="171" t="s">
        <v>559</v>
      </c>
      <c r="J48" s="95">
        <f>Fcast_OP_TO!J213</f>
        <v>0</v>
      </c>
      <c r="K48" s="95">
        <f>Fcast_OP_TO!K213</f>
        <v>0</v>
      </c>
      <c r="L48" s="95">
        <f>Fcast_OP_TO!L213</f>
        <v>0</v>
      </c>
      <c r="M48" s="95">
        <f ca="1">Fcast_OP_TO!M213</f>
        <v>0.39999999999999858</v>
      </c>
      <c r="N48" s="95">
        <f>Fcast_OP_TO!N213</f>
        <v>9.9999999999999645E-2</v>
      </c>
      <c r="O48" s="95">
        <f>Fcast_OP_TO!O213</f>
        <v>9.9999999999999645E-2</v>
      </c>
      <c r="P48" s="95">
        <f>Fcast_OP_TO!P213</f>
        <v>9.9999999999999645E-2</v>
      </c>
      <c r="Q48" s="95">
        <f>Fcast_OP_TO!Q213</f>
        <v>9.9999999999999645E-2</v>
      </c>
    </row>
    <row r="49" spans="2:17">
      <c r="D49" s="137" t="str">
        <f>"Net "&amp;C41</f>
        <v>Net Cash Flow from Financing Activities</v>
      </c>
      <c r="J49" s="141">
        <f>SUM(J43:J48)</f>
        <v>0</v>
      </c>
      <c r="K49" s="141">
        <f t="shared" ref="K49:Q49" si="12">SUM(K43:K48)</f>
        <v>0</v>
      </c>
      <c r="L49" s="141">
        <f t="shared" si="12"/>
        <v>0</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2:17">
      <c r="J50" s="95"/>
      <c r="K50" s="95"/>
      <c r="L50" s="95"/>
      <c r="M50" s="95"/>
      <c r="N50" s="95"/>
      <c r="O50" s="95"/>
      <c r="P50" s="95"/>
      <c r="Q50" s="95"/>
    </row>
    <row r="51" spans="2:17" ht="12" thickBot="1">
      <c r="C51" s="94" t="s">
        <v>18</v>
      </c>
      <c r="J51" s="140">
        <f t="shared" ref="J51:Q51" si="13">J31+J39+J49</f>
        <v>0</v>
      </c>
      <c r="K51" s="140">
        <f t="shared" si="13"/>
        <v>0</v>
      </c>
      <c r="L51" s="140">
        <f t="shared" si="13"/>
        <v>0</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2:17" ht="11.25" thickTop="1"/>
    <row r="54" spans="2:17" ht="12.75">
      <c r="B54" s="120" t="s">
        <v>426</v>
      </c>
    </row>
    <row r="56" spans="2:17" ht="11.25">
      <c r="C56" s="121" t="str">
        <f>C18</f>
        <v>Cash Flow from Operating Activities</v>
      </c>
    </row>
    <row r="58" spans="2:17">
      <c r="D58" s="108" t="s">
        <v>13</v>
      </c>
      <c r="J58" s="95">
        <f>IS_Fcast_TO!J39</f>
        <v>0</v>
      </c>
      <c r="K58" s="95">
        <f>IS_Fcast_TO!K39</f>
        <v>0</v>
      </c>
      <c r="L58" s="95">
        <f>IS_Fcast_TO!L39</f>
        <v>0</v>
      </c>
      <c r="M58" s="95">
        <f ca="1">IS_Fcast_TO!M39</f>
        <v>32.306650195312507</v>
      </c>
      <c r="N58" s="95">
        <f ca="1">IS_Fcast_TO!N39</f>
        <v>33.057441450195327</v>
      </c>
      <c r="O58" s="95">
        <f ca="1">IS_Fcast_TO!O39</f>
        <v>33.829846236450202</v>
      </c>
      <c r="P58" s="95">
        <f ca="1">IS_Fcast_TO!P39</f>
        <v>34.73815489236145</v>
      </c>
      <c r="Q58" s="95">
        <f ca="1">IS_Fcast_TO!Q39</f>
        <v>35.669171264670474</v>
      </c>
    </row>
    <row r="59" spans="2:17">
      <c r="D59" s="108" t="s">
        <v>19</v>
      </c>
      <c r="J59" s="95">
        <f>-IS_Fcast_TO!J37</f>
        <v>0</v>
      </c>
      <c r="K59" s="95">
        <f>-IS_Fcast_TO!K37</f>
        <v>0</v>
      </c>
      <c r="L59" s="95">
        <f>-IS_Fcast_TO!L37</f>
        <v>0</v>
      </c>
      <c r="M59" s="95">
        <f ca="1">-IS_Fcast_TO!M37</f>
        <v>13.845707226562503</v>
      </c>
      <c r="N59" s="95">
        <f ca="1">-IS_Fcast_TO!N37</f>
        <v>14.167474907226566</v>
      </c>
      <c r="O59" s="95">
        <f ca="1">-IS_Fcast_TO!O37</f>
        <v>14.498505529907227</v>
      </c>
      <c r="P59" s="95">
        <f ca="1">-IS_Fcast_TO!P37</f>
        <v>14.887780668154907</v>
      </c>
      <c r="Q59" s="95">
        <f ca="1">-IS_Fcast_TO!Q37</f>
        <v>15.286787684858773</v>
      </c>
    </row>
    <row r="60" spans="2:17">
      <c r="D60" s="108" t="s">
        <v>20</v>
      </c>
      <c r="J60" s="95">
        <f>-IS_Fcast_TO!J33</f>
        <v>0</v>
      </c>
      <c r="K60" s="95">
        <f>-IS_Fcast_TO!K33</f>
        <v>0</v>
      </c>
      <c r="L60" s="95">
        <f>-IS_Fcast_TO!L33</f>
        <v>0</v>
      </c>
      <c r="M60" s="95">
        <f ca="1">-IS_Fcast_TO!M33</f>
        <v>3.25</v>
      </c>
      <c r="N60" s="95">
        <f ca="1">-IS_Fcast_TO!N33</f>
        <v>3.4125000000000001</v>
      </c>
      <c r="O60" s="95">
        <f ca="1">-IS_Fcast_TO!O33</f>
        <v>3.5750000000000002</v>
      </c>
      <c r="P60" s="95">
        <f ca="1">-IS_Fcast_TO!P33</f>
        <v>3.5750000000000002</v>
      </c>
      <c r="Q60" s="95">
        <f ca="1">-IS_Fcast_TO!Q33</f>
        <v>3.5750000000000002</v>
      </c>
    </row>
    <row r="61" spans="2:17">
      <c r="D61" s="108" t="s">
        <v>21</v>
      </c>
      <c r="J61" s="95">
        <f>-IS_Fcast_TO!J29</f>
        <v>0</v>
      </c>
      <c r="K61" s="95">
        <f>-IS_Fcast_TO!K29</f>
        <v>0</v>
      </c>
      <c r="L61" s="95">
        <f>-IS_Fcast_TO!L29</f>
        <v>0</v>
      </c>
      <c r="M61" s="95">
        <f>-IS_Fcast_TO!M29</f>
        <v>15.211080078124994</v>
      </c>
      <c r="N61" s="95">
        <f>-IS_Fcast_TO!N29</f>
        <v>15.591357080078117</v>
      </c>
      <c r="O61" s="95">
        <f>-IS_Fcast_TO!O29</f>
        <v>15.981141007080069</v>
      </c>
      <c r="P61" s="95">
        <f>-IS_Fcast_TO!P29</f>
        <v>16.38066953225707</v>
      </c>
      <c r="Q61" s="95">
        <f>-IS_Fcast_TO!Q29</f>
        <v>16.790186270563492</v>
      </c>
    </row>
    <row r="62" spans="2:17">
      <c r="D62" s="5" t="str">
        <f>E21</f>
        <v>Decrease in Accounts Receivable</v>
      </c>
      <c r="J62" s="95">
        <f t="shared" ref="J62" si="14">J21</f>
        <v>0</v>
      </c>
      <c r="K62" s="95">
        <f t="shared" ref="K62:Q62" si="15">K21</f>
        <v>0</v>
      </c>
      <c r="L62" s="95">
        <f t="shared" si="15"/>
        <v>0</v>
      </c>
      <c r="M62" s="95">
        <f t="shared" ca="1" si="15"/>
        <v>-0.29934436756118998</v>
      </c>
      <c r="N62" s="95">
        <f t="shared" si="15"/>
        <v>-0.27659861943493524</v>
      </c>
      <c r="O62" s="95">
        <f t="shared" si="15"/>
        <v>-0.28351358492079726</v>
      </c>
      <c r="P62" s="95">
        <f t="shared" si="15"/>
        <v>-0.25804771305121221</v>
      </c>
      <c r="Q62" s="95">
        <f t="shared" si="15"/>
        <v>-0.3304201716500188</v>
      </c>
    </row>
    <row r="63" spans="2:17">
      <c r="D63" s="5" t="str">
        <f>E25</f>
        <v>Increase in Accounts Payable</v>
      </c>
      <c r="J63" s="95">
        <f t="shared" ref="J63" si="16">J25</f>
        <v>0</v>
      </c>
      <c r="K63" s="95">
        <f t="shared" ref="K63:Q63" si="17">K25</f>
        <v>0</v>
      </c>
      <c r="L63" s="95">
        <f t="shared" si="17"/>
        <v>0</v>
      </c>
      <c r="M63" s="95">
        <f t="shared" ca="1" si="17"/>
        <v>0.2334886066977333</v>
      </c>
      <c r="N63" s="95">
        <f t="shared" si="17"/>
        <v>0.21574692315924437</v>
      </c>
      <c r="O63" s="95">
        <f t="shared" si="17"/>
        <v>0.22114059623822868</v>
      </c>
      <c r="P63" s="95">
        <f t="shared" si="17"/>
        <v>0.20127721617994609</v>
      </c>
      <c r="Q63" s="95">
        <f t="shared" si="17"/>
        <v>0.25772773388702319</v>
      </c>
    </row>
    <row r="64" spans="2:17">
      <c r="D64" s="5" t="str">
        <f>D27</f>
        <v>Interest Paid</v>
      </c>
      <c r="J64" s="95">
        <f t="shared" ref="J64" si="18">J27</f>
        <v>0</v>
      </c>
      <c r="K64" s="95">
        <f t="shared" ref="K64:Q64" si="19">K27</f>
        <v>0</v>
      </c>
      <c r="L64" s="95">
        <f t="shared" si="19"/>
        <v>0</v>
      </c>
      <c r="M64" s="95">
        <f t="shared" ca="1" si="19"/>
        <v>-3.25</v>
      </c>
      <c r="N64" s="95">
        <f t="shared" ca="1" si="19"/>
        <v>-3.4125000000000001</v>
      </c>
      <c r="O64" s="95">
        <f t="shared" ca="1" si="19"/>
        <v>-3.5750000000000002</v>
      </c>
      <c r="P64" s="95">
        <f t="shared" ca="1" si="19"/>
        <v>-3.5750000000000002</v>
      </c>
      <c r="Q64" s="95">
        <f t="shared" ca="1" si="19"/>
        <v>-3.5750000000000002</v>
      </c>
    </row>
    <row r="65" spans="3:17">
      <c r="D65" s="5" t="str">
        <f>D28</f>
        <v>Tax Paid</v>
      </c>
      <c r="J65" s="95">
        <f t="shared" ref="J65" si="20">J28</f>
        <v>0</v>
      </c>
      <c r="K65" s="95">
        <f t="shared" ref="K65:Q65" si="21">K28</f>
        <v>0</v>
      </c>
      <c r="L65" s="95">
        <f t="shared" si="21"/>
        <v>0</v>
      </c>
      <c r="M65" s="95">
        <f t="shared" ca="1" si="21"/>
        <v>-13.484226562500004</v>
      </c>
      <c r="N65" s="95">
        <f t="shared" ca="1" si="21"/>
        <v>-13.845707226562503</v>
      </c>
      <c r="O65" s="95">
        <f t="shared" ca="1" si="21"/>
        <v>-14.167474907226566</v>
      </c>
      <c r="P65" s="95">
        <f t="shared" ca="1" si="21"/>
        <v>-14.498505529907227</v>
      </c>
      <c r="Q65" s="95">
        <f t="shared" ca="1" si="21"/>
        <v>-14.887780668154907</v>
      </c>
    </row>
    <row r="66" spans="3:17" s="16" customFormat="1">
      <c r="D66" s="5" t="str">
        <f t="shared" ref="D66:D67" si="22">D29</f>
        <v>Decrease in Other Current Assets</v>
      </c>
      <c r="J66" s="95">
        <f t="shared" ref="J66" si="23">J29</f>
        <v>0</v>
      </c>
      <c r="K66" s="95">
        <f t="shared" ref="K66:Q66" si="24">K29</f>
        <v>0</v>
      </c>
      <c r="L66" s="95">
        <f t="shared" si="24"/>
        <v>0</v>
      </c>
      <c r="M66" s="95">
        <f t="shared" ca="1" si="24"/>
        <v>-1</v>
      </c>
      <c r="N66" s="95">
        <f t="shared" si="24"/>
        <v>-1</v>
      </c>
      <c r="O66" s="95">
        <f t="shared" si="24"/>
        <v>-1</v>
      </c>
      <c r="P66" s="95">
        <f t="shared" si="24"/>
        <v>-1</v>
      </c>
      <c r="Q66" s="95">
        <f t="shared" si="24"/>
        <v>-1</v>
      </c>
    </row>
    <row r="67" spans="3:17" s="16" customFormat="1">
      <c r="D67" s="5" t="str">
        <f t="shared" si="22"/>
        <v>Increase in Other Current Liabilities</v>
      </c>
      <c r="J67" s="95">
        <f t="shared" ref="J67" si="25">J30</f>
        <v>0</v>
      </c>
      <c r="K67" s="95">
        <f t="shared" ref="K67:Q67" si="26">K30</f>
        <v>0</v>
      </c>
      <c r="L67" s="95">
        <f t="shared" si="26"/>
        <v>0</v>
      </c>
      <c r="M67" s="95">
        <f t="shared" ca="1" si="26"/>
        <v>1</v>
      </c>
      <c r="N67" s="95">
        <f t="shared" si="26"/>
        <v>1</v>
      </c>
      <c r="O67" s="95">
        <f t="shared" si="26"/>
        <v>1</v>
      </c>
      <c r="P67" s="95">
        <f t="shared" si="26"/>
        <v>1</v>
      </c>
      <c r="Q67" s="95">
        <f t="shared" si="26"/>
        <v>1</v>
      </c>
    </row>
    <row r="68" spans="3:17">
      <c r="D68" s="4" t="str">
        <f>D31</f>
        <v>Net Cash Flow from Operating Activities</v>
      </c>
      <c r="J68" s="141">
        <f t="shared" ref="J68" si="27">SUM(J58:J67)</f>
        <v>0</v>
      </c>
      <c r="K68" s="141">
        <f t="shared" ref="K68:Q68" si="28">SUM(K58:K67)</f>
        <v>0</v>
      </c>
      <c r="L68" s="141">
        <f t="shared" si="28"/>
        <v>0</v>
      </c>
      <c r="M68" s="141">
        <f t="shared" ca="1" si="28"/>
        <v>47.813355176636541</v>
      </c>
      <c r="N68" s="141">
        <f t="shared" ca="1" si="28"/>
        <v>48.909714514661815</v>
      </c>
      <c r="O68" s="141">
        <f t="shared" ca="1" si="28"/>
        <v>50.079644877528366</v>
      </c>
      <c r="P68" s="141">
        <f t="shared" ca="1" si="28"/>
        <v>51.451329065994933</v>
      </c>
      <c r="Q68" s="141">
        <f t="shared" ca="1" si="28"/>
        <v>52.785672114174844</v>
      </c>
    </row>
    <row r="70" spans="3:17" ht="11.25">
      <c r="C70" s="121" t="str">
        <f>C33</f>
        <v>Cash Flow from Investing Activities</v>
      </c>
    </row>
    <row r="72" spans="3:17">
      <c r="D72" s="5" t="str">
        <f>D35</f>
        <v>Capital Expenditure - Assets</v>
      </c>
      <c r="J72" s="95">
        <f t="shared" ref="J72:Q73" si="29">J35</f>
        <v>0</v>
      </c>
      <c r="K72" s="95">
        <f t="shared" si="29"/>
        <v>0</v>
      </c>
      <c r="L72" s="95">
        <f t="shared" si="29"/>
        <v>0</v>
      </c>
      <c r="M72" s="95">
        <f t="shared" si="29"/>
        <v>-16.153359374999994</v>
      </c>
      <c r="N72" s="95">
        <f t="shared" si="29"/>
        <v>-16.557193359374992</v>
      </c>
      <c r="O72" s="95">
        <f t="shared" si="29"/>
        <v>-16.971123193359364</v>
      </c>
      <c r="P72" s="95">
        <f t="shared" si="29"/>
        <v>-17.395401273193347</v>
      </c>
      <c r="Q72" s="95">
        <f t="shared" si="29"/>
        <v>-17.830286305023179</v>
      </c>
    </row>
    <row r="73" spans="3:17" s="16" customFormat="1">
      <c r="D73" s="5" t="str">
        <f>D36</f>
        <v>Capital Expenditure - Intangibles</v>
      </c>
      <c r="J73" s="95">
        <f t="shared" si="29"/>
        <v>0</v>
      </c>
      <c r="K73" s="95">
        <f t="shared" si="29"/>
        <v>0</v>
      </c>
      <c r="L73" s="95">
        <f t="shared" si="29"/>
        <v>0</v>
      </c>
      <c r="M73" s="95">
        <f t="shared" si="29"/>
        <v>-2.6922265624999997</v>
      </c>
      <c r="N73" s="95">
        <f t="shared" si="29"/>
        <v>-2.7595322265624995</v>
      </c>
      <c r="O73" s="95">
        <f t="shared" si="29"/>
        <v>-2.8285205322265616</v>
      </c>
      <c r="P73" s="95">
        <f t="shared" si="29"/>
        <v>-2.8992335455322253</v>
      </c>
      <c r="Q73" s="95">
        <f t="shared" si="29"/>
        <v>-2.9717143841705309</v>
      </c>
    </row>
    <row r="74" spans="3:17" s="16" customFormat="1">
      <c r="D74" s="5" t="str">
        <f t="shared" ref="D74:D75" si="30">D37</f>
        <v>Decrease in Other Non-Current Assets</v>
      </c>
      <c r="J74" s="95">
        <f t="shared" ref="J74:Q74" si="31">J37</f>
        <v>0</v>
      </c>
      <c r="K74" s="95">
        <f t="shared" si="31"/>
        <v>0</v>
      </c>
      <c r="L74" s="95">
        <f t="shared" si="31"/>
        <v>0</v>
      </c>
      <c r="M74" s="95">
        <f t="shared" ca="1" si="31"/>
        <v>-1</v>
      </c>
      <c r="N74" s="95">
        <f t="shared" si="31"/>
        <v>-1</v>
      </c>
      <c r="O74" s="95">
        <f t="shared" si="31"/>
        <v>-1</v>
      </c>
      <c r="P74" s="95">
        <f t="shared" si="31"/>
        <v>-1</v>
      </c>
      <c r="Q74" s="95">
        <f t="shared" si="31"/>
        <v>-1</v>
      </c>
    </row>
    <row r="75" spans="3:17" s="16" customFormat="1">
      <c r="D75" s="5" t="str">
        <f t="shared" si="30"/>
        <v>Increase in Other Non-Current Liabilities</v>
      </c>
      <c r="J75" s="95">
        <f t="shared" ref="J75:Q75" si="32">J38</f>
        <v>0</v>
      </c>
      <c r="K75" s="95">
        <f t="shared" si="32"/>
        <v>0</v>
      </c>
      <c r="L75" s="95">
        <f t="shared" si="32"/>
        <v>0</v>
      </c>
      <c r="M75" s="95">
        <f t="shared" ca="1" si="32"/>
        <v>1</v>
      </c>
      <c r="N75" s="95">
        <f t="shared" si="32"/>
        <v>1</v>
      </c>
      <c r="O75" s="95">
        <f t="shared" si="32"/>
        <v>1</v>
      </c>
      <c r="P75" s="95">
        <f t="shared" si="32"/>
        <v>1</v>
      </c>
      <c r="Q75" s="95">
        <f t="shared" si="32"/>
        <v>1</v>
      </c>
    </row>
    <row r="76" spans="3:17">
      <c r="D76" s="4" t="str">
        <f>D39</f>
        <v>Net Cash Flow from Investing Activities</v>
      </c>
      <c r="J76" s="141">
        <f>SUM(J72:J75)</f>
        <v>0</v>
      </c>
      <c r="K76" s="141">
        <f t="shared" ref="K76:Q76" si="33">SUM(K72:K75)</f>
        <v>0</v>
      </c>
      <c r="L76" s="141">
        <f t="shared" si="33"/>
        <v>0</v>
      </c>
      <c r="M76" s="141">
        <f t="shared" ca="1" si="33"/>
        <v>-18.845585937499994</v>
      </c>
      <c r="N76" s="141">
        <f t="shared" si="33"/>
        <v>-19.31672558593749</v>
      </c>
      <c r="O76" s="141">
        <f t="shared" si="33"/>
        <v>-19.799643725585927</v>
      </c>
      <c r="P76" s="141">
        <f t="shared" si="33"/>
        <v>-20.294634818725573</v>
      </c>
      <c r="Q76" s="141">
        <f t="shared" si="33"/>
        <v>-20.802000689193711</v>
      </c>
    </row>
    <row r="78" spans="3:17" ht="11.25">
      <c r="C78" s="121" t="str">
        <f>C41</f>
        <v>Cash Flow from Financing Activities</v>
      </c>
    </row>
    <row r="80" spans="3:17">
      <c r="D80" s="5" t="str">
        <f>D43</f>
        <v>Debt Drawdowns</v>
      </c>
      <c r="J80" s="95">
        <f>J43</f>
        <v>0</v>
      </c>
      <c r="K80" s="95">
        <f t="shared" ref="K80:Q80" si="34">K43</f>
        <v>0</v>
      </c>
      <c r="L80" s="95">
        <f t="shared" si="34"/>
        <v>0</v>
      </c>
      <c r="M80" s="95">
        <f t="shared" si="34"/>
        <v>0</v>
      </c>
      <c r="N80" s="95">
        <f t="shared" si="34"/>
        <v>50</v>
      </c>
      <c r="O80" s="95">
        <f t="shared" si="34"/>
        <v>0</v>
      </c>
      <c r="P80" s="95">
        <f t="shared" si="34"/>
        <v>0</v>
      </c>
      <c r="Q80" s="95">
        <f t="shared" si="34"/>
        <v>0</v>
      </c>
    </row>
    <row r="81" spans="2:17">
      <c r="D81" s="5" t="str">
        <f t="shared" ref="D81:D85" si="35">D44</f>
        <v>Debt Repayments</v>
      </c>
      <c r="J81" s="95">
        <f t="shared" ref="J81:Q85" si="36">J44</f>
        <v>0</v>
      </c>
      <c r="K81" s="95">
        <f t="shared" si="36"/>
        <v>0</v>
      </c>
      <c r="L81" s="95">
        <f t="shared" si="36"/>
        <v>0</v>
      </c>
      <c r="M81" s="95">
        <f t="shared" si="36"/>
        <v>0</v>
      </c>
      <c r="N81" s="95">
        <f t="shared" si="36"/>
        <v>-45</v>
      </c>
      <c r="O81" s="95">
        <f t="shared" si="36"/>
        <v>0</v>
      </c>
      <c r="P81" s="95">
        <f t="shared" si="36"/>
        <v>0</v>
      </c>
      <c r="Q81" s="95">
        <f t="shared" si="36"/>
        <v>0</v>
      </c>
    </row>
    <row r="82" spans="2:17">
      <c r="D82" s="5" t="str">
        <f t="shared" si="35"/>
        <v>Equity Raisings</v>
      </c>
      <c r="J82" s="95">
        <f t="shared" si="36"/>
        <v>0</v>
      </c>
      <c r="K82" s="95">
        <f t="shared" si="36"/>
        <v>0</v>
      </c>
      <c r="L82" s="95">
        <f t="shared" si="36"/>
        <v>0</v>
      </c>
      <c r="M82" s="95">
        <f t="shared" si="36"/>
        <v>0</v>
      </c>
      <c r="N82" s="95">
        <f t="shared" si="36"/>
        <v>0</v>
      </c>
      <c r="O82" s="95">
        <f t="shared" si="36"/>
        <v>0</v>
      </c>
      <c r="P82" s="95">
        <f t="shared" si="36"/>
        <v>0</v>
      </c>
      <c r="Q82" s="95">
        <f t="shared" si="36"/>
        <v>0</v>
      </c>
    </row>
    <row r="83" spans="2:17">
      <c r="D83" s="5" t="str">
        <f t="shared" si="35"/>
        <v>Equity Repayments</v>
      </c>
      <c r="J83" s="95">
        <f t="shared" si="36"/>
        <v>0</v>
      </c>
      <c r="K83" s="95">
        <f t="shared" si="36"/>
        <v>0</v>
      </c>
      <c r="L83" s="95">
        <f t="shared" si="36"/>
        <v>0</v>
      </c>
      <c r="M83" s="95">
        <f t="shared" si="36"/>
        <v>0</v>
      </c>
      <c r="N83" s="95">
        <f t="shared" si="36"/>
        <v>0</v>
      </c>
      <c r="O83" s="95">
        <f t="shared" si="36"/>
        <v>0</v>
      </c>
      <c r="P83" s="95">
        <f t="shared" si="36"/>
        <v>0</v>
      </c>
      <c r="Q83" s="95">
        <f t="shared" si="36"/>
        <v>0</v>
      </c>
    </row>
    <row r="84" spans="2:17">
      <c r="D84" s="5" t="str">
        <f t="shared" si="35"/>
        <v>Dividends Paid During Period</v>
      </c>
      <c r="J84" s="95">
        <f t="shared" si="36"/>
        <v>0</v>
      </c>
      <c r="K84" s="95">
        <f t="shared" si="36"/>
        <v>0</v>
      </c>
      <c r="L84" s="95">
        <f t="shared" si="36"/>
        <v>0</v>
      </c>
      <c r="M84" s="95">
        <f t="shared" ca="1" si="36"/>
        <v>-16.153325097656253</v>
      </c>
      <c r="N84" s="95">
        <f t="shared" ca="1" si="36"/>
        <v>-16.528720725097664</v>
      </c>
      <c r="O84" s="95">
        <f t="shared" ca="1" si="36"/>
        <v>-16.914923118225101</v>
      </c>
      <c r="P84" s="95">
        <f t="shared" ca="1" si="36"/>
        <v>-17.369077446180725</v>
      </c>
      <c r="Q84" s="95">
        <f t="shared" ca="1" si="36"/>
        <v>-17.834585632335237</v>
      </c>
    </row>
    <row r="85" spans="2:17" s="16" customFormat="1">
      <c r="D85" s="5" t="str">
        <f t="shared" si="35"/>
        <v>Increase in Other Equity</v>
      </c>
      <c r="J85" s="95">
        <f t="shared" si="36"/>
        <v>0</v>
      </c>
      <c r="K85" s="95">
        <f t="shared" si="36"/>
        <v>0</v>
      </c>
      <c r="L85" s="95">
        <f t="shared" si="36"/>
        <v>0</v>
      </c>
      <c r="M85" s="95">
        <f t="shared" ca="1" si="36"/>
        <v>0.39999999999999858</v>
      </c>
      <c r="N85" s="95">
        <f t="shared" si="36"/>
        <v>9.9999999999999645E-2</v>
      </c>
      <c r="O85" s="95">
        <f t="shared" si="36"/>
        <v>9.9999999999999645E-2</v>
      </c>
      <c r="P85" s="95">
        <f t="shared" si="36"/>
        <v>9.9999999999999645E-2</v>
      </c>
      <c r="Q85" s="95">
        <f t="shared" si="36"/>
        <v>9.9999999999999645E-2</v>
      </c>
    </row>
    <row r="86" spans="2:17">
      <c r="D86" s="4" t="str">
        <f>D49</f>
        <v>Net Cash Flow from Financing Activities</v>
      </c>
      <c r="J86" s="141">
        <f>SUM(J80:J85)</f>
        <v>0</v>
      </c>
      <c r="K86" s="141">
        <f t="shared" ref="K86:Q86" si="37">SUM(K80:K85)</f>
        <v>0</v>
      </c>
      <c r="L86" s="141">
        <f t="shared" si="37"/>
        <v>0</v>
      </c>
      <c r="M86" s="141">
        <f t="shared" ca="1" si="37"/>
        <v>-15.753325097656255</v>
      </c>
      <c r="N86" s="141">
        <f t="shared" ca="1" si="37"/>
        <v>-11.428720725097664</v>
      </c>
      <c r="O86" s="141">
        <f t="shared" ca="1" si="37"/>
        <v>-16.814923118225103</v>
      </c>
      <c r="P86" s="141">
        <f t="shared" ca="1" si="37"/>
        <v>-17.269077446180724</v>
      </c>
      <c r="Q86" s="141">
        <f t="shared" ca="1" si="37"/>
        <v>-17.734585632335239</v>
      </c>
    </row>
    <row r="88" spans="2:17" ht="12" thickBot="1">
      <c r="C88" s="121" t="str">
        <f>C51</f>
        <v>Net Increase / (Decrease) in Cash Held</v>
      </c>
      <c r="J88" s="140">
        <f t="shared" ref="J88:Q88" si="38">J68+J76+J86</f>
        <v>0</v>
      </c>
      <c r="K88" s="140">
        <f t="shared" si="38"/>
        <v>0</v>
      </c>
      <c r="L88" s="140">
        <f t="shared" si="38"/>
        <v>0</v>
      </c>
      <c r="M88" s="140">
        <f t="shared" ca="1" si="38"/>
        <v>13.214444141480293</v>
      </c>
      <c r="N88" s="140">
        <f t="shared" ca="1" si="38"/>
        <v>18.164268203626662</v>
      </c>
      <c r="O88" s="140">
        <f t="shared" ca="1" si="38"/>
        <v>13.465078033717337</v>
      </c>
      <c r="P88" s="140">
        <f t="shared" ca="1" si="38"/>
        <v>13.887616801088637</v>
      </c>
      <c r="Q88" s="140">
        <f t="shared" ca="1" si="38"/>
        <v>14.249085792645893</v>
      </c>
    </row>
    <row r="89" spans="2:17" ht="11.25" thickTop="1"/>
    <row r="91" spans="2:17" ht="12.75">
      <c r="B91" s="120" t="s">
        <v>427</v>
      </c>
    </row>
    <row r="93" spans="2:17">
      <c r="D93" s="5" t="str">
        <f>$D$31</f>
        <v>Net Cash Flow from Operating Activities</v>
      </c>
      <c r="J93" s="95">
        <f t="shared" ref="J93:Q93" si="39">J$31</f>
        <v>0</v>
      </c>
      <c r="K93" s="95">
        <f t="shared" si="39"/>
        <v>0</v>
      </c>
      <c r="L93" s="95">
        <f t="shared" si="39"/>
        <v>0</v>
      </c>
      <c r="M93" s="95">
        <f t="shared" ca="1" si="39"/>
        <v>47.813355176636556</v>
      </c>
      <c r="N93" s="95">
        <f t="shared" ca="1" si="39"/>
        <v>48.909714514661815</v>
      </c>
      <c r="O93" s="95">
        <f t="shared" ca="1" si="39"/>
        <v>50.079644877528366</v>
      </c>
      <c r="P93" s="95">
        <f t="shared" ca="1" si="39"/>
        <v>51.45132906599494</v>
      </c>
      <c r="Q93" s="95">
        <f t="shared" ca="1" si="39"/>
        <v>52.785672114174844</v>
      </c>
    </row>
    <row r="94" spans="2:17">
      <c r="D94" s="5" t="str">
        <f>$D$39</f>
        <v>Net Cash Flow from Investing Activities</v>
      </c>
      <c r="J94" s="95">
        <f t="shared" ref="J94:Q94" si="40">J$39</f>
        <v>0</v>
      </c>
      <c r="K94" s="95">
        <f t="shared" si="40"/>
        <v>0</v>
      </c>
      <c r="L94" s="95">
        <f t="shared" si="40"/>
        <v>0</v>
      </c>
      <c r="M94" s="95">
        <f t="shared" ca="1" si="40"/>
        <v>-18.845585937499994</v>
      </c>
      <c r="N94" s="95">
        <f t="shared" si="40"/>
        <v>-19.31672558593749</v>
      </c>
      <c r="O94" s="95">
        <f t="shared" si="40"/>
        <v>-19.799643725585927</v>
      </c>
      <c r="P94" s="95">
        <f t="shared" si="40"/>
        <v>-20.294634818725573</v>
      </c>
      <c r="Q94" s="95">
        <f t="shared" si="40"/>
        <v>-20.802000689193711</v>
      </c>
    </row>
    <row r="95" spans="2:17">
      <c r="D95" s="117" t="str">
        <f>"(Add Back) "&amp;$D$27</f>
        <v>(Add Back) Interest Paid</v>
      </c>
      <c r="J95" s="97">
        <f t="shared" ref="J95:Q95" si="41">-J$27</f>
        <v>0</v>
      </c>
      <c r="K95" s="97">
        <f t="shared" si="41"/>
        <v>0</v>
      </c>
      <c r="L95" s="97">
        <f t="shared" si="41"/>
        <v>0</v>
      </c>
      <c r="M95" s="97">
        <f t="shared" ca="1" si="41"/>
        <v>3.25</v>
      </c>
      <c r="N95" s="97">
        <f t="shared" ca="1" si="41"/>
        <v>3.4125000000000001</v>
      </c>
      <c r="O95" s="97">
        <f t="shared" ca="1" si="41"/>
        <v>3.5750000000000002</v>
      </c>
      <c r="P95" s="97">
        <f t="shared" ca="1" si="41"/>
        <v>3.5750000000000002</v>
      </c>
      <c r="Q95" s="97">
        <f t="shared" ca="1" si="41"/>
        <v>3.5750000000000002</v>
      </c>
    </row>
    <row r="96" spans="2:17">
      <c r="D96" s="109" t="s">
        <v>22</v>
      </c>
      <c r="J96" s="98">
        <f t="shared" ref="J96:Q96" si="42">SUM(J93:J95)</f>
        <v>0</v>
      </c>
      <c r="K96" s="98">
        <f t="shared" si="42"/>
        <v>0</v>
      </c>
      <c r="L96" s="98">
        <f t="shared" si="42"/>
        <v>0</v>
      </c>
      <c r="M96" s="98">
        <f t="shared" ca="1" si="42"/>
        <v>32.217769239136558</v>
      </c>
      <c r="N96" s="98">
        <f t="shared" ca="1" si="42"/>
        <v>33.005488928724326</v>
      </c>
      <c r="O96" s="98">
        <f t="shared" ca="1" si="42"/>
        <v>33.855001151942439</v>
      </c>
      <c r="P96" s="98">
        <f t="shared" ca="1" si="42"/>
        <v>34.731694247269367</v>
      </c>
      <c r="Q96" s="98">
        <f t="shared" ca="1" si="42"/>
        <v>35.558671424981135</v>
      </c>
    </row>
    <row r="97" spans="4:17">
      <c r="D97" s="5" t="str">
        <f>$D$27</f>
        <v>Interest Paid</v>
      </c>
      <c r="J97" s="95">
        <f t="shared" ref="J97:Q97" si="43">J$27</f>
        <v>0</v>
      </c>
      <c r="K97" s="95">
        <f t="shared" si="43"/>
        <v>0</v>
      </c>
      <c r="L97" s="95">
        <f t="shared" si="43"/>
        <v>0</v>
      </c>
      <c r="M97" s="95">
        <f t="shared" ca="1" si="43"/>
        <v>-3.25</v>
      </c>
      <c r="N97" s="95">
        <f t="shared" ca="1" si="43"/>
        <v>-3.4125000000000001</v>
      </c>
      <c r="O97" s="95">
        <f t="shared" ca="1" si="43"/>
        <v>-3.5750000000000002</v>
      </c>
      <c r="P97" s="95">
        <f t="shared" ca="1" si="43"/>
        <v>-3.5750000000000002</v>
      </c>
      <c r="Q97" s="95">
        <f t="shared" ca="1" si="43"/>
        <v>-3.5750000000000002</v>
      </c>
    </row>
    <row r="98" spans="4:17">
      <c r="D98" s="5" t="str">
        <f>D43</f>
        <v>Debt Drawdowns</v>
      </c>
      <c r="J98" s="95">
        <f>J43</f>
        <v>0</v>
      </c>
      <c r="K98" s="95">
        <f t="shared" ref="K98:Q98" si="44">K43</f>
        <v>0</v>
      </c>
      <c r="L98" s="95">
        <f t="shared" si="44"/>
        <v>0</v>
      </c>
      <c r="M98" s="95">
        <f t="shared" si="44"/>
        <v>0</v>
      </c>
      <c r="N98" s="95">
        <f t="shared" si="44"/>
        <v>50</v>
      </c>
      <c r="O98" s="95">
        <f t="shared" si="44"/>
        <v>0</v>
      </c>
      <c r="P98" s="95">
        <f t="shared" si="44"/>
        <v>0</v>
      </c>
      <c r="Q98" s="95">
        <f t="shared" si="44"/>
        <v>0</v>
      </c>
    </row>
    <row r="99" spans="4:17" s="22" customFormat="1">
      <c r="D99" s="241" t="str">
        <f>D44</f>
        <v>Debt Repayments</v>
      </c>
      <c r="J99" s="122">
        <f>J44</f>
        <v>0</v>
      </c>
      <c r="K99" s="122">
        <f t="shared" ref="K99:Q99" si="45">K44</f>
        <v>0</v>
      </c>
      <c r="L99" s="122">
        <f t="shared" si="45"/>
        <v>0</v>
      </c>
      <c r="M99" s="122">
        <f t="shared" si="45"/>
        <v>0</v>
      </c>
      <c r="N99" s="122">
        <f t="shared" si="45"/>
        <v>-45</v>
      </c>
      <c r="O99" s="122">
        <f t="shared" si="45"/>
        <v>0</v>
      </c>
      <c r="P99" s="122">
        <f t="shared" si="45"/>
        <v>0</v>
      </c>
      <c r="Q99" s="122">
        <f t="shared" si="45"/>
        <v>0</v>
      </c>
    </row>
    <row r="100" spans="4:17" s="16" customFormat="1">
      <c r="D100" s="5" t="str">
        <f>D48</f>
        <v>Increase in Other Equity</v>
      </c>
      <c r="J100" s="97">
        <f>J48</f>
        <v>0</v>
      </c>
      <c r="K100" s="97">
        <f t="shared" ref="K100:Q100" si="46">K48</f>
        <v>0</v>
      </c>
      <c r="L100" s="97">
        <f t="shared" si="46"/>
        <v>0</v>
      </c>
      <c r="M100" s="97">
        <f t="shared" ca="1" si="46"/>
        <v>0.39999999999999858</v>
      </c>
      <c r="N100" s="97">
        <f t="shared" si="46"/>
        <v>9.9999999999999645E-2</v>
      </c>
      <c r="O100" s="97">
        <f t="shared" si="46"/>
        <v>9.9999999999999645E-2</v>
      </c>
      <c r="P100" s="97">
        <f t="shared" si="46"/>
        <v>9.9999999999999645E-2</v>
      </c>
      <c r="Q100" s="97">
        <f t="shared" si="46"/>
        <v>9.9999999999999645E-2</v>
      </c>
    </row>
    <row r="101" spans="4:17">
      <c r="D101" s="109" t="s">
        <v>23</v>
      </c>
      <c r="J101" s="98">
        <f>SUM(J96:J100)</f>
        <v>0</v>
      </c>
      <c r="K101" s="98">
        <f t="shared" ref="K101:Q101" si="47">SUM(K96:K100)</f>
        <v>0</v>
      </c>
      <c r="L101" s="98">
        <f t="shared" si="47"/>
        <v>0</v>
      </c>
      <c r="M101" s="98">
        <f t="shared" ca="1" si="47"/>
        <v>29.367769239136557</v>
      </c>
      <c r="N101" s="98">
        <f t="shared" ca="1" si="47"/>
        <v>34.692988928724326</v>
      </c>
      <c r="O101" s="98">
        <f t="shared" ca="1" si="47"/>
        <v>30.380001151942437</v>
      </c>
      <c r="P101" s="98">
        <f t="shared" ca="1" si="47"/>
        <v>31.256694247269365</v>
      </c>
      <c r="Q101" s="98">
        <f t="shared" ca="1" si="47"/>
        <v>32.083671424981134</v>
      </c>
    </row>
    <row r="102" spans="4:17">
      <c r="D102" s="5" t="str">
        <f>D45</f>
        <v>Equity Raisings</v>
      </c>
      <c r="J102" s="95">
        <f>J45</f>
        <v>0</v>
      </c>
      <c r="K102" s="95">
        <f t="shared" ref="K102:Q102" si="48">K45</f>
        <v>0</v>
      </c>
      <c r="L102" s="95">
        <f t="shared" si="48"/>
        <v>0</v>
      </c>
      <c r="M102" s="95">
        <f t="shared" si="48"/>
        <v>0</v>
      </c>
      <c r="N102" s="95">
        <f t="shared" si="48"/>
        <v>0</v>
      </c>
      <c r="O102" s="95">
        <f t="shared" si="48"/>
        <v>0</v>
      </c>
      <c r="P102" s="95">
        <f t="shared" si="48"/>
        <v>0</v>
      </c>
      <c r="Q102" s="95">
        <f t="shared" si="48"/>
        <v>0</v>
      </c>
    </row>
    <row r="103" spans="4:17">
      <c r="D103" s="5" t="str">
        <f>D46</f>
        <v>Equity Repayments</v>
      </c>
      <c r="J103" s="95">
        <f>J46</f>
        <v>0</v>
      </c>
      <c r="K103" s="95">
        <f t="shared" ref="K103:Q103" si="49">K46</f>
        <v>0</v>
      </c>
      <c r="L103" s="95">
        <f t="shared" si="49"/>
        <v>0</v>
      </c>
      <c r="M103" s="95">
        <f t="shared" si="49"/>
        <v>0</v>
      </c>
      <c r="N103" s="95">
        <f t="shared" si="49"/>
        <v>0</v>
      </c>
      <c r="O103" s="95">
        <f t="shared" si="49"/>
        <v>0</v>
      </c>
      <c r="P103" s="95">
        <f t="shared" si="49"/>
        <v>0</v>
      </c>
      <c r="Q103" s="95">
        <f t="shared" si="49"/>
        <v>0</v>
      </c>
    </row>
    <row r="104" spans="4:17">
      <c r="D104" s="109" t="s">
        <v>280</v>
      </c>
      <c r="J104" s="141">
        <f t="shared" ref="J104:Q104" si="50">SUM(J101:J103)</f>
        <v>0</v>
      </c>
      <c r="K104" s="141">
        <f t="shared" si="50"/>
        <v>0</v>
      </c>
      <c r="L104" s="141">
        <f t="shared" si="50"/>
        <v>0</v>
      </c>
      <c r="M104" s="141">
        <f t="shared" ca="1" si="50"/>
        <v>29.367769239136557</v>
      </c>
      <c r="N104" s="141">
        <f t="shared" ca="1" si="50"/>
        <v>34.692988928724326</v>
      </c>
      <c r="O104" s="141">
        <f t="shared" ca="1" si="50"/>
        <v>30.380001151942437</v>
      </c>
      <c r="P104" s="141">
        <f t="shared" ca="1" si="50"/>
        <v>31.256694247269365</v>
      </c>
      <c r="Q104" s="141">
        <f t="shared" ca="1" si="50"/>
        <v>32.083671424981134</v>
      </c>
    </row>
    <row r="105" spans="4:17">
      <c r="D105" s="5" t="str">
        <f>$D$47</f>
        <v>Dividends Paid During Period</v>
      </c>
      <c r="J105" s="95">
        <f t="shared" ref="J105:Q105" si="51">J$47</f>
        <v>0</v>
      </c>
      <c r="K105" s="95">
        <f t="shared" si="51"/>
        <v>0</v>
      </c>
      <c r="L105" s="95">
        <f t="shared" si="51"/>
        <v>0</v>
      </c>
      <c r="M105" s="95">
        <f t="shared" ca="1" si="51"/>
        <v>-16.153325097656253</v>
      </c>
      <c r="N105" s="95">
        <f t="shared" ca="1" si="51"/>
        <v>-16.528720725097664</v>
      </c>
      <c r="O105" s="95">
        <f t="shared" ca="1" si="51"/>
        <v>-16.914923118225101</v>
      </c>
      <c r="P105" s="95">
        <f t="shared" ca="1" si="51"/>
        <v>-17.369077446180725</v>
      </c>
      <c r="Q105" s="95">
        <f t="shared" ca="1" si="51"/>
        <v>-17.834585632335237</v>
      </c>
    </row>
    <row r="106" spans="4:17" ht="11.25" thickBot="1">
      <c r="D106" s="4" t="str">
        <f>$C$51</f>
        <v>Net Increase / (Decrease) in Cash Held</v>
      </c>
      <c r="J106" s="140">
        <f t="shared" ref="J106:Q106" si="52">SUM(J104:J105)</f>
        <v>0</v>
      </c>
      <c r="K106" s="140">
        <f t="shared" si="52"/>
        <v>0</v>
      </c>
      <c r="L106" s="140">
        <f t="shared" si="52"/>
        <v>0</v>
      </c>
      <c r="M106" s="140">
        <f t="shared" ca="1" si="52"/>
        <v>13.214444141480303</v>
      </c>
      <c r="N106" s="140">
        <f t="shared" ca="1" si="52"/>
        <v>18.164268203626662</v>
      </c>
      <c r="O106" s="140">
        <f t="shared" ca="1" si="52"/>
        <v>13.465078033717337</v>
      </c>
      <c r="P106" s="140">
        <f t="shared" ca="1" si="52"/>
        <v>13.88761680108864</v>
      </c>
      <c r="Q106" s="140">
        <f t="shared" ca="1" si="52"/>
        <v>14.249085792645896</v>
      </c>
    </row>
    <row r="107" spans="4:17" ht="11.25" thickTop="1"/>
    <row r="108" spans="4:17" hidden="1" outlineLevel="2">
      <c r="E108" s="108" t="s">
        <v>24</v>
      </c>
      <c r="J108" s="142">
        <f t="shared" ref="J108:Q108" si="53">IF(ISERROR(J31+J39+J49-J51),1,0)</f>
        <v>0</v>
      </c>
      <c r="K108" s="142">
        <f t="shared" si="53"/>
        <v>0</v>
      </c>
      <c r="L108" s="142">
        <f t="shared" si="53"/>
        <v>0</v>
      </c>
      <c r="M108" s="142">
        <f t="shared" ca="1" si="53"/>
        <v>0</v>
      </c>
      <c r="N108" s="142">
        <f t="shared" ca="1" si="53"/>
        <v>0</v>
      </c>
      <c r="O108" s="142">
        <f t="shared" ca="1" si="53"/>
        <v>0</v>
      </c>
      <c r="P108" s="142">
        <f t="shared" ca="1" si="53"/>
        <v>0</v>
      </c>
      <c r="Q108" s="142">
        <f t="shared" ca="1" si="53"/>
        <v>0</v>
      </c>
    </row>
    <row r="109" spans="4:17" hidden="1" outlineLevel="2">
      <c r="E109" s="108" t="s">
        <v>26</v>
      </c>
      <c r="J109" s="142">
        <f t="shared" ref="J109:Q109" si="54">IF(ISERROR(J68+J76+J86-J88),1,0)</f>
        <v>0</v>
      </c>
      <c r="K109" s="142">
        <f t="shared" si="54"/>
        <v>0</v>
      </c>
      <c r="L109" s="142">
        <f t="shared" si="54"/>
        <v>0</v>
      </c>
      <c r="M109" s="142">
        <f t="shared" ca="1" si="54"/>
        <v>0</v>
      </c>
      <c r="N109" s="142">
        <f t="shared" ca="1" si="54"/>
        <v>0</v>
      </c>
      <c r="O109" s="142">
        <f t="shared" ca="1" si="54"/>
        <v>0</v>
      </c>
      <c r="P109" s="142">
        <f t="shared" ca="1" si="54"/>
        <v>0</v>
      </c>
      <c r="Q109" s="142">
        <f t="shared" ca="1" si="54"/>
        <v>0</v>
      </c>
    </row>
    <row r="110" spans="4:17" hidden="1" outlineLevel="2">
      <c r="E110" s="108" t="s">
        <v>25</v>
      </c>
      <c r="J110" s="143">
        <f t="shared" ref="J110:Q110" si="55">IF(J108&lt;&gt;0,0,IF(ROUND(J31+J39+J49-J51,5)&lt;&gt;0,1,0))</f>
        <v>0</v>
      </c>
      <c r="K110" s="143">
        <f t="shared" si="55"/>
        <v>0</v>
      </c>
      <c r="L110" s="143">
        <f t="shared" si="55"/>
        <v>0</v>
      </c>
      <c r="M110" s="143">
        <f t="shared" ca="1" si="55"/>
        <v>0</v>
      </c>
      <c r="N110" s="143">
        <f t="shared" ca="1" si="55"/>
        <v>0</v>
      </c>
      <c r="O110" s="143">
        <f t="shared" ca="1" si="55"/>
        <v>0</v>
      </c>
      <c r="P110" s="143">
        <f t="shared" ca="1" si="55"/>
        <v>0</v>
      </c>
      <c r="Q110" s="143">
        <f t="shared" ca="1" si="55"/>
        <v>0</v>
      </c>
    </row>
    <row r="111" spans="4:17" hidden="1" outlineLevel="2">
      <c r="E111" s="108" t="s">
        <v>27</v>
      </c>
      <c r="J111" s="143">
        <f t="shared" ref="J111:Q111" si="56">IF(J109&lt;&gt;0,0,IF(ROUND(J68+J76+J86-J88,5)&lt;&gt;0,1,0))</f>
        <v>0</v>
      </c>
      <c r="K111" s="143">
        <f t="shared" si="56"/>
        <v>0</v>
      </c>
      <c r="L111" s="143">
        <f t="shared" si="56"/>
        <v>0</v>
      </c>
      <c r="M111" s="143">
        <f t="shared" ca="1" si="56"/>
        <v>0</v>
      </c>
      <c r="N111" s="143">
        <f t="shared" ca="1" si="56"/>
        <v>0</v>
      </c>
      <c r="O111" s="143">
        <f t="shared" ca="1" si="56"/>
        <v>0</v>
      </c>
      <c r="P111" s="143">
        <f t="shared" ca="1" si="56"/>
        <v>0</v>
      </c>
      <c r="Q111" s="143">
        <f t="shared" ca="1" si="56"/>
        <v>0</v>
      </c>
    </row>
    <row r="112" spans="4:17" hidden="1" outlineLevel="2">
      <c r="E112" s="108" t="s">
        <v>28</v>
      </c>
      <c r="J112" s="143">
        <f t="shared" ref="J112:Q112" si="57">IF(OR(J108&lt;&gt;0,J109&lt;&gt;0),0,IF(ROUND(J51-J88,5)&lt;&gt;0,1,0))</f>
        <v>0</v>
      </c>
      <c r="K112" s="143">
        <f t="shared" si="57"/>
        <v>0</v>
      </c>
      <c r="L112" s="143">
        <f t="shared" si="57"/>
        <v>0</v>
      </c>
      <c r="M112" s="143">
        <f t="shared" ca="1" si="57"/>
        <v>0</v>
      </c>
      <c r="N112" s="143">
        <f t="shared" ca="1" si="57"/>
        <v>0</v>
      </c>
      <c r="O112" s="143">
        <f t="shared" ca="1" si="57"/>
        <v>0</v>
      </c>
      <c r="P112" s="143">
        <f t="shared" ca="1" si="57"/>
        <v>0</v>
      </c>
      <c r="Q112" s="143">
        <f t="shared" ca="1" si="57"/>
        <v>0</v>
      </c>
    </row>
    <row r="113" spans="3:17" hidden="1" outlineLevel="2">
      <c r="E113" s="108" t="s">
        <v>29</v>
      </c>
      <c r="J113" s="125">
        <f t="shared" ref="J113:Q113" si="58">IF(J108&lt;&gt;0,0,IF(ROUND(J88-J106,5)&lt;&gt;0,1,0))</f>
        <v>0</v>
      </c>
      <c r="K113" s="125">
        <f t="shared" si="58"/>
        <v>0</v>
      </c>
      <c r="L113" s="125">
        <f t="shared" si="58"/>
        <v>0</v>
      </c>
      <c r="M113" s="125">
        <f t="shared" ca="1" si="58"/>
        <v>0</v>
      </c>
      <c r="N113" s="125">
        <f t="shared" ca="1" si="58"/>
        <v>0</v>
      </c>
      <c r="O113" s="125">
        <f t="shared" ca="1" si="58"/>
        <v>0</v>
      </c>
      <c r="P113" s="125">
        <f t="shared" ca="1" si="58"/>
        <v>0</v>
      </c>
      <c r="Q113" s="125">
        <f t="shared" ca="1" si="58"/>
        <v>0</v>
      </c>
    </row>
    <row r="114" spans="3:17" collapsed="1">
      <c r="D114" s="108" t="s">
        <v>411</v>
      </c>
      <c r="I114" s="99">
        <f ca="1">IF(ISERROR(SUM(J114:Q114)),0,MIN(SUM(J114:Q114),1))</f>
        <v>0</v>
      </c>
      <c r="J114" s="96">
        <f t="shared" ref="J114:Q114" si="59">MIN(SUM(J108:J113),1)</f>
        <v>0</v>
      </c>
      <c r="K114" s="96">
        <f t="shared" si="59"/>
        <v>0</v>
      </c>
      <c r="L114" s="96">
        <f t="shared" si="59"/>
        <v>0</v>
      </c>
      <c r="M114" s="96">
        <f t="shared" ca="1" si="59"/>
        <v>0</v>
      </c>
      <c r="N114" s="96">
        <f t="shared" ca="1" si="59"/>
        <v>0</v>
      </c>
      <c r="O114" s="96">
        <f t="shared" ca="1" si="59"/>
        <v>0</v>
      </c>
      <c r="P114" s="96">
        <f t="shared" ca="1" si="59"/>
        <v>0</v>
      </c>
      <c r="Q114" s="96">
        <f t="shared" ca="1" si="59"/>
        <v>0</v>
      </c>
    </row>
    <row r="116" spans="3:17" s="16" customFormat="1">
      <c r="C116" s="162" t="s">
        <v>203</v>
      </c>
    </row>
    <row r="117" spans="3:17" s="16" customFormat="1">
      <c r="C117" s="139">
        <v>1</v>
      </c>
      <c r="D117" s="117" t="str">
        <f>"All values are stated in "&amp;INDEX(LU_Denom,DD_TS_Denom)&amp;" unless stated otherwise."</f>
        <v>All values are stated in $Millions unless stated otherwise.</v>
      </c>
    </row>
    <row r="118" spans="3:17" s="16" customFormat="1"/>
    <row r="119" spans="3:17" s="16" customFormat="1">
      <c r="C119" s="107" t="str">
        <f>"Go to "&amp;Err_Chk_11_Hdg</f>
        <v>Go to Income Statement - Forecast Outputs</v>
      </c>
      <c r="D119" s="9"/>
      <c r="E119" s="9"/>
      <c r="F119" s="9"/>
      <c r="G119" s="9"/>
      <c r="H119" s="9"/>
      <c r="I119" s="9"/>
    </row>
    <row r="120" spans="3:17" s="16" customFormat="1">
      <c r="C120" s="107" t="str">
        <f>"Go to "&amp;BS_Fcast_TO!$B$1</f>
        <v>Go to Balance Sheet - Forecast Outputs</v>
      </c>
      <c r="D120" s="9"/>
      <c r="E120" s="9"/>
      <c r="F120" s="9"/>
      <c r="G120" s="9"/>
      <c r="H120" s="9"/>
      <c r="I120" s="9"/>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0"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549</v>
      </c>
    </row>
    <row r="10" spans="3:7" ht="16.5">
      <c r="C10" s="28" t="s">
        <v>513</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499</v>
      </c>
    </row>
    <row r="18" spans="3:3">
      <c r="C18" s="206" t="s">
        <v>550</v>
      </c>
    </row>
    <row r="19" spans="3:3">
      <c r="C19" s="178"/>
    </row>
    <row r="20" spans="3:3">
      <c r="C20" s="17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6"/>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6" t="str">
        <f>IS_Hist_TA!B16</f>
        <v>Income Statement</v>
      </c>
    </row>
    <row r="17" spans="3:17" s="25" customFormat="1"/>
    <row r="18" spans="3:17" s="25" customFormat="1">
      <c r="D18" s="204" t="str">
        <f>IS_Hist_TA!D18</f>
        <v>Revenue</v>
      </c>
      <c r="J18" s="220">
        <f>IS_Hist_TO!J18+IS_Fcast_TO!J18</f>
        <v>125</v>
      </c>
      <c r="K18" s="220">
        <f>IS_Hist_TO!K18+IS_Fcast_TO!K18</f>
        <v>128.125</v>
      </c>
      <c r="L18" s="220">
        <f>IS_Hist_TO!L18+IS_Fcast_TO!L18</f>
        <v>131.328125</v>
      </c>
      <c r="M18" s="220">
        <f>IS_Hist_TO!M18+IS_Fcast_TO!M18</f>
        <v>134.611328125</v>
      </c>
      <c r="N18" s="220">
        <f>IS_Hist_TO!N18+IS_Fcast_TO!N18</f>
        <v>137.97661132812499</v>
      </c>
      <c r="O18" s="220">
        <f>IS_Hist_TO!O18+IS_Fcast_TO!O18</f>
        <v>141.4260266113281</v>
      </c>
      <c r="P18" s="220">
        <f>IS_Hist_TO!P18+IS_Fcast_TO!P18</f>
        <v>144.96167727661128</v>
      </c>
      <c r="Q18" s="220">
        <f>IS_Hist_TO!Q18+IS_Fcast_TO!Q18</f>
        <v>148.58571920852654</v>
      </c>
    </row>
    <row r="19" spans="3:17" s="25" customFormat="1">
      <c r="D19" s="204" t="str">
        <f>IS_Hist_TA!D19</f>
        <v>Cost of Goods Sold</v>
      </c>
      <c r="J19" s="220">
        <f>IS_Hist_TO!J19+IS_Fcast_TO!J19</f>
        <v>-25</v>
      </c>
      <c r="K19" s="220">
        <f>IS_Hist_TO!K19+IS_Fcast_TO!K19</f>
        <v>-25.624999999999996</v>
      </c>
      <c r="L19" s="220">
        <f>IS_Hist_TO!L19+IS_Fcast_TO!L19</f>
        <v>-26.265624999999993</v>
      </c>
      <c r="M19" s="220">
        <f>IS_Hist_TO!M19+IS_Fcast_TO!M19</f>
        <v>-26.922265624999991</v>
      </c>
      <c r="N19" s="220">
        <f>IS_Hist_TO!N19+IS_Fcast_TO!N19</f>
        <v>-27.59532226562499</v>
      </c>
      <c r="O19" s="220">
        <f>IS_Hist_TO!O19+IS_Fcast_TO!O19</f>
        <v>-28.285205322265611</v>
      </c>
      <c r="P19" s="220">
        <f>IS_Hist_TO!P19+IS_Fcast_TO!P19</f>
        <v>-28.992335455322248</v>
      </c>
      <c r="Q19" s="220">
        <f>IS_Hist_TO!Q19+IS_Fcast_TO!Q19</f>
        <v>-29.717143841705301</v>
      </c>
    </row>
    <row r="20" spans="3:17" s="25" customFormat="1">
      <c r="J20" s="144"/>
      <c r="K20" s="144"/>
      <c r="L20" s="144"/>
      <c r="M20" s="144"/>
      <c r="N20" s="144"/>
      <c r="O20" s="144"/>
      <c r="P20" s="144"/>
      <c r="Q20" s="144"/>
    </row>
    <row r="21" spans="3:17" s="25" customFormat="1" ht="11.25">
      <c r="C21" s="217" t="str">
        <f>IS_Hist_TA!C21</f>
        <v>Gross Margin</v>
      </c>
      <c r="J21" s="212">
        <f t="shared" ref="J21:Q21" si="8">J18+J19</f>
        <v>100</v>
      </c>
      <c r="K21" s="212">
        <f t="shared" si="8"/>
        <v>102.5</v>
      </c>
      <c r="L21" s="212">
        <f t="shared" si="8"/>
        <v>105.0625</v>
      </c>
      <c r="M21" s="212">
        <f t="shared" si="8"/>
        <v>107.68906250000001</v>
      </c>
      <c r="N21" s="212">
        <f t="shared" si="8"/>
        <v>110.3812890625</v>
      </c>
      <c r="O21" s="212">
        <f t="shared" si="8"/>
        <v>113.14082128906249</v>
      </c>
      <c r="P21" s="212">
        <f t="shared" si="8"/>
        <v>115.96934182128904</v>
      </c>
      <c r="Q21" s="212">
        <f t="shared" si="8"/>
        <v>118.86857536682123</v>
      </c>
    </row>
    <row r="22" spans="3:17" s="25" customFormat="1">
      <c r="J22" s="144"/>
      <c r="K22" s="144"/>
      <c r="L22" s="144"/>
      <c r="M22" s="144"/>
      <c r="N22" s="144"/>
      <c r="O22" s="144"/>
      <c r="P22" s="144"/>
      <c r="Q22" s="144"/>
    </row>
    <row r="23" spans="3:17" s="25" customFormat="1">
      <c r="D23" s="204" t="str">
        <f>IS_Hist_TA!D23</f>
        <v>Operating Expenditure</v>
      </c>
      <c r="J23" s="220">
        <f>IS_Hist_TO!J23+IS_Fcast_TO!J23</f>
        <v>-40</v>
      </c>
      <c r="K23" s="220">
        <f>IS_Hist_TO!K23+IS_Fcast_TO!K23</f>
        <v>-41</v>
      </c>
      <c r="L23" s="220">
        <f>IS_Hist_TO!L23+IS_Fcast_TO!L23</f>
        <v>-42.024999999999999</v>
      </c>
      <c r="M23" s="220">
        <f>IS_Hist_TO!M23+IS_Fcast_TO!M23</f>
        <v>-43.075624999999995</v>
      </c>
      <c r="N23" s="220">
        <f>IS_Hist_TO!N23+IS_Fcast_TO!N23</f>
        <v>-44.152515624999992</v>
      </c>
      <c r="O23" s="220">
        <f>IS_Hist_TO!O23+IS_Fcast_TO!O23</f>
        <v>-45.256328515624986</v>
      </c>
      <c r="P23" s="220">
        <f>IS_Hist_TO!P23+IS_Fcast_TO!P23</f>
        <v>-46.387736728515605</v>
      </c>
      <c r="Q23" s="220">
        <f>IS_Hist_TO!Q23+IS_Fcast_TO!Q23</f>
        <v>-47.547430146728495</v>
      </c>
    </row>
    <row r="24" spans="3:17" s="25" customFormat="1">
      <c r="J24" s="144"/>
      <c r="K24" s="144"/>
      <c r="L24" s="144"/>
      <c r="M24" s="144"/>
      <c r="N24" s="144"/>
      <c r="O24" s="144"/>
      <c r="P24" s="144"/>
      <c r="Q24" s="144"/>
    </row>
    <row r="25" spans="3:17" s="25" customFormat="1" ht="11.25">
      <c r="C25" s="217" t="str">
        <f>IS_Hist_TA!C25</f>
        <v>EBITDA</v>
      </c>
      <c r="J25" s="212">
        <f t="shared" ref="J25:Q25" si="9">J21+J23</f>
        <v>60</v>
      </c>
      <c r="K25" s="212">
        <f t="shared" si="9"/>
        <v>61.5</v>
      </c>
      <c r="L25" s="212">
        <f t="shared" si="9"/>
        <v>63.037500000000001</v>
      </c>
      <c r="M25" s="212">
        <f t="shared" si="9"/>
        <v>64.613437500000003</v>
      </c>
      <c r="N25" s="212">
        <f t="shared" si="9"/>
        <v>66.22877343750001</v>
      </c>
      <c r="O25" s="212">
        <f t="shared" si="9"/>
        <v>67.884492773437501</v>
      </c>
      <c r="P25" s="212">
        <f t="shared" si="9"/>
        <v>69.58160509277343</v>
      </c>
      <c r="Q25" s="212">
        <f t="shared" si="9"/>
        <v>71.321145220092745</v>
      </c>
    </row>
    <row r="26" spans="3:17" s="25" customFormat="1">
      <c r="J26" s="144"/>
      <c r="K26" s="144"/>
      <c r="L26" s="144"/>
      <c r="M26" s="144"/>
      <c r="N26" s="144"/>
      <c r="O26" s="144"/>
      <c r="P26" s="144"/>
      <c r="Q26" s="144"/>
    </row>
    <row r="27" spans="3:17" s="25" customFormat="1" hidden="1" outlineLevel="2">
      <c r="E27" s="204"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5" customFormat="1" hidden="1" outlineLevel="2">
      <c r="E28" s="204"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204" t="str">
        <f>IS_Hist_TA!D29</f>
        <v>Depreciation &amp; Amortization</v>
      </c>
      <c r="J29" s="220">
        <f>IS_Hist_TO!J29+IS_Fcast_TO!J29</f>
        <v>-14.125</v>
      </c>
      <c r="K29" s="220">
        <f>IS_Hist_TO!K29+IS_Fcast_TO!K29</f>
        <v>-14.478124999999999</v>
      </c>
      <c r="L29" s="220">
        <f>IS_Hist_TO!L29+IS_Fcast_TO!L29</f>
        <v>-14.840078124999996</v>
      </c>
      <c r="M29" s="220">
        <f>IS_Hist_TO!M29+IS_Fcast_TO!M29</f>
        <v>-15.211080078124994</v>
      </c>
      <c r="N29" s="220">
        <f>IS_Hist_TO!N29+IS_Fcast_TO!N29</f>
        <v>-15.591357080078117</v>
      </c>
      <c r="O29" s="220">
        <f>IS_Hist_TO!O29+IS_Fcast_TO!O29</f>
        <v>-15.981141007080069</v>
      </c>
      <c r="P29" s="220">
        <f>IS_Hist_TO!P29+IS_Fcast_TO!P29</f>
        <v>-16.38066953225707</v>
      </c>
      <c r="Q29" s="220">
        <f>IS_Hist_TO!Q29+IS_Fcast_TO!Q29</f>
        <v>-16.790186270563492</v>
      </c>
    </row>
    <row r="30" spans="3:17" s="25" customFormat="1">
      <c r="J30" s="144"/>
      <c r="K30" s="144"/>
      <c r="L30" s="144"/>
      <c r="M30" s="144"/>
      <c r="N30" s="144"/>
      <c r="O30" s="144"/>
      <c r="P30" s="144"/>
      <c r="Q30" s="144"/>
    </row>
    <row r="31" spans="3:17" s="25" customFormat="1" ht="11.25">
      <c r="C31" s="217" t="str">
        <f>IS_Hist_TA!C31</f>
        <v>EBIT</v>
      </c>
      <c r="J31" s="212">
        <f t="shared" ref="J31:Q31" si="10">J25+J29</f>
        <v>45.875</v>
      </c>
      <c r="K31" s="212">
        <f t="shared" si="10"/>
        <v>47.021875000000001</v>
      </c>
      <c r="L31" s="212">
        <f t="shared" si="10"/>
        <v>48.197421875000003</v>
      </c>
      <c r="M31" s="212">
        <f t="shared" si="10"/>
        <v>49.40235742187501</v>
      </c>
      <c r="N31" s="212">
        <f t="shared" si="10"/>
        <v>50.637416357421891</v>
      </c>
      <c r="O31" s="212">
        <f t="shared" si="10"/>
        <v>51.903351766357432</v>
      </c>
      <c r="P31" s="212">
        <f t="shared" si="10"/>
        <v>53.200935560516356</v>
      </c>
      <c r="Q31" s="212">
        <f t="shared" si="10"/>
        <v>54.53095894952925</v>
      </c>
    </row>
    <row r="32" spans="3:17" s="25" customFormat="1">
      <c r="J32" s="144"/>
      <c r="K32" s="144"/>
      <c r="L32" s="144"/>
      <c r="M32" s="144"/>
      <c r="N32" s="144"/>
      <c r="O32" s="144"/>
      <c r="P32" s="144"/>
      <c r="Q32" s="144"/>
    </row>
    <row r="33" spans="3:17" s="25" customFormat="1">
      <c r="D33" s="204" t="str">
        <f>IS_Hist_TA!D33</f>
        <v>Interest Expense</v>
      </c>
      <c r="J33" s="220">
        <f>IS_Hist_TO!J33+IS_Fcast_TO!J33</f>
        <v>-3.25</v>
      </c>
      <c r="K33" s="220">
        <f>IS_Hist_TO!K33+IS_Fcast_TO!K33</f>
        <v>-3.25</v>
      </c>
      <c r="L33" s="220">
        <f>IS_Hist_TO!L33+IS_Fcast_TO!L33</f>
        <v>-3.25</v>
      </c>
      <c r="M33" s="220">
        <f ca="1">IS_Hist_TO!M33+IS_Fcast_TO!M33</f>
        <v>-3.25</v>
      </c>
      <c r="N33" s="220">
        <f ca="1">IS_Hist_TO!N33+IS_Fcast_TO!N33</f>
        <v>-3.4125000000000001</v>
      </c>
      <c r="O33" s="220">
        <f ca="1">IS_Hist_TO!O33+IS_Fcast_TO!O33</f>
        <v>-3.5750000000000002</v>
      </c>
      <c r="P33" s="220">
        <f ca="1">IS_Hist_TO!P33+IS_Fcast_TO!P33</f>
        <v>-3.5750000000000002</v>
      </c>
      <c r="Q33" s="220">
        <f ca="1">IS_Hist_TO!Q33+IS_Fcast_TO!Q33</f>
        <v>-3.5750000000000002</v>
      </c>
    </row>
    <row r="34" spans="3:17" s="25" customFormat="1">
      <c r="J34" s="144"/>
      <c r="K34" s="144"/>
      <c r="L34" s="144"/>
      <c r="M34" s="144"/>
      <c r="N34" s="144"/>
      <c r="O34" s="144"/>
      <c r="P34" s="144"/>
      <c r="Q34" s="144"/>
    </row>
    <row r="35" spans="3:17" s="25" customFormat="1" ht="11.25">
      <c r="C35" s="217" t="str">
        <f>IS_Hist_TA!C35</f>
        <v>Net Profit Before Tax</v>
      </c>
      <c r="J35" s="212">
        <f t="shared" ref="J35:Q35" si="11">J31+J33</f>
        <v>42.625</v>
      </c>
      <c r="K35" s="212">
        <f t="shared" si="11"/>
        <v>43.771875000000001</v>
      </c>
      <c r="L35" s="212">
        <f t="shared" si="11"/>
        <v>44.947421875000003</v>
      </c>
      <c r="M35" s="212">
        <f t="shared" ca="1" si="11"/>
        <v>46.15235742187501</v>
      </c>
      <c r="N35" s="212">
        <f t="shared" ca="1" si="11"/>
        <v>47.22491635742189</v>
      </c>
      <c r="O35" s="212">
        <f t="shared" ca="1" si="11"/>
        <v>48.328351766357429</v>
      </c>
      <c r="P35" s="212">
        <f t="shared" ca="1" si="11"/>
        <v>49.625935560516353</v>
      </c>
      <c r="Q35" s="212">
        <f t="shared" ca="1" si="11"/>
        <v>50.955958949529247</v>
      </c>
    </row>
    <row r="36" spans="3:17" s="25" customFormat="1">
      <c r="J36" s="144"/>
      <c r="K36" s="144"/>
      <c r="L36" s="144"/>
      <c r="M36" s="144"/>
      <c r="N36" s="144"/>
      <c r="O36" s="144"/>
      <c r="P36" s="144"/>
      <c r="Q36" s="144"/>
    </row>
    <row r="37" spans="3:17" s="25" customFormat="1">
      <c r="D37" s="204" t="str">
        <f>IS_Hist_TA!D37</f>
        <v>Tax Expense / (Benefit)</v>
      </c>
      <c r="J37" s="220">
        <f>IS_Hist_TO!J37+IS_Fcast_TO!J37</f>
        <v>-12.7875</v>
      </c>
      <c r="K37" s="220">
        <f>IS_Hist_TO!K37+IS_Fcast_TO!K37</f>
        <v>-13.131562499999999</v>
      </c>
      <c r="L37" s="220">
        <f>IS_Hist_TO!L37+IS_Fcast_TO!L37</f>
        <v>-13.4842265625</v>
      </c>
      <c r="M37" s="220">
        <f ca="1">IS_Hist_TO!M37+IS_Fcast_TO!M37</f>
        <v>-13.845707226562503</v>
      </c>
      <c r="N37" s="220">
        <f ca="1">IS_Hist_TO!N37+IS_Fcast_TO!N37</f>
        <v>-14.167474907226566</v>
      </c>
      <c r="O37" s="220">
        <f ca="1">IS_Hist_TO!O37+IS_Fcast_TO!O37</f>
        <v>-14.498505529907227</v>
      </c>
      <c r="P37" s="220">
        <f ca="1">IS_Hist_TO!P37+IS_Fcast_TO!P37</f>
        <v>-14.887780668154907</v>
      </c>
      <c r="Q37" s="220">
        <f ca="1">IS_Hist_TO!Q37+IS_Fcast_TO!Q37</f>
        <v>-15.286787684858773</v>
      </c>
    </row>
    <row r="38" spans="3:17" s="25" customFormat="1">
      <c r="J38" s="144"/>
      <c r="K38" s="144"/>
      <c r="L38" s="144"/>
      <c r="M38" s="144"/>
      <c r="N38" s="144"/>
      <c r="O38" s="144"/>
      <c r="P38" s="144"/>
      <c r="Q38" s="144"/>
    </row>
    <row r="39" spans="3:17" s="25" customFormat="1" ht="12.75" thickBot="1">
      <c r="C39" s="218" t="str">
        <f>IS_Hist_TA!C39</f>
        <v>Net Profit After Tax</v>
      </c>
      <c r="J39" s="214">
        <f t="shared" ref="J39:Q39" si="12">J35+J37</f>
        <v>29.837499999999999</v>
      </c>
      <c r="K39" s="214">
        <f t="shared" si="12"/>
        <v>30.6403125</v>
      </c>
      <c r="L39" s="214">
        <f t="shared" si="12"/>
        <v>31.463195312500005</v>
      </c>
      <c r="M39" s="214">
        <f t="shared" ca="1" si="12"/>
        <v>32.306650195312507</v>
      </c>
      <c r="N39" s="214">
        <f t="shared" ca="1" si="12"/>
        <v>33.057441450195327</v>
      </c>
      <c r="O39" s="214">
        <f t="shared" ca="1" si="12"/>
        <v>33.829846236450202</v>
      </c>
      <c r="P39" s="214">
        <f t="shared" ca="1" si="12"/>
        <v>34.73815489236145</v>
      </c>
      <c r="Q39" s="214">
        <f t="shared" ca="1" si="12"/>
        <v>35.669171264670474</v>
      </c>
    </row>
    <row r="40" spans="3:17" s="25" customFormat="1" ht="11.25" thickTop="1"/>
    <row r="41" spans="3:17" s="25" customFormat="1">
      <c r="C41" s="260" t="str">
        <f>"Go to "&amp;BS_All_TO!$B$1</f>
        <v>Go to Balance Sheet - All Periods Outputs</v>
      </c>
      <c r="D41" s="264"/>
      <c r="E41" s="264"/>
      <c r="F41" s="264"/>
      <c r="G41" s="264"/>
      <c r="H41" s="264"/>
      <c r="I41" s="264"/>
    </row>
    <row r="42" spans="3:17" s="25" customFormat="1">
      <c r="C42" s="260" t="str">
        <f>"Go to "&amp;CFS_All_TO!$B$1</f>
        <v>Go to Cash Flow Statement - All Periods Outputs</v>
      </c>
      <c r="D42" s="264"/>
      <c r="E42" s="264"/>
      <c r="F42" s="264"/>
      <c r="G42" s="264"/>
      <c r="H42" s="264"/>
      <c r="I42" s="264"/>
    </row>
    <row r="43" spans="3:17" s="25" customFormat="1"/>
    <row r="44" spans="3:17" s="25" customFormat="1">
      <c r="C44" s="180" t="str">
        <f>IS_Hist_TA!C43</f>
        <v>Notes</v>
      </c>
    </row>
    <row r="45" spans="3:17" s="25" customFormat="1">
      <c r="C45" s="219">
        <f>IS_Hist_TA!C44</f>
        <v>1</v>
      </c>
      <c r="D45" s="215" t="str">
        <f>"All revenues and expenses are specified in "&amp;INDEX(LU_Denom,DD_TS_Denom)&amp;"."</f>
        <v>All revenues and expenses are specified in $Millions.</v>
      </c>
    </row>
    <row r="46" spans="3:17" s="25" customFormat="1">
      <c r="C46" s="219">
        <f>IS_Hist_TA!C45</f>
        <v>2</v>
      </c>
      <c r="D46" s="203" t="s">
        <v>540</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C41:I41" location="HL_Sheet_Main_32" tooltip="Go to Balance Sheet - All Periods Outputs" display="HL_Sheet_Main_32"/>
    <hyperlink ref="C42:I42"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80"/>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 min="13" max="13" width="12.83203125" customWidth="1"/>
  </cols>
  <sheetData>
    <row r="1" spans="1:17" ht="18">
      <c r="B1" s="1" t="s">
        <v>552</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6" t="str">
        <f>BS_Hist_TA!B16</f>
        <v>Balance Sheet</v>
      </c>
      <c r="I16" s="227" t="s">
        <v>531</v>
      </c>
    </row>
    <row r="17" spans="3:17" s="25" customFormat="1">
      <c r="I17" s="228">
        <f>TS_Start_Date</f>
        <v>40179</v>
      </c>
    </row>
    <row r="18" spans="3:17" s="25" customFormat="1" ht="11.25">
      <c r="C18" s="217" t="str">
        <f>BS_Hist_TA!C18</f>
        <v>Current Assets</v>
      </c>
      <c r="M18" s="239"/>
    </row>
    <row r="19" spans="3:17" s="25" customFormat="1" ht="11.25">
      <c r="C19" s="217"/>
    </row>
    <row r="20" spans="3:17" s="16" customFormat="1" hidden="1" outlineLevel="2">
      <c r="E20" s="171" t="s">
        <v>41</v>
      </c>
      <c r="J20" s="95">
        <f>I22</f>
        <v>5</v>
      </c>
      <c r="K20" s="95">
        <f t="shared" ref="K20:Q20" si="8">J22</f>
        <v>7.5</v>
      </c>
      <c r="L20" s="95">
        <f t="shared" si="8"/>
        <v>12.148336900684967</v>
      </c>
      <c r="M20" s="95">
        <f t="shared" si="8"/>
        <v>24.635307976188827</v>
      </c>
      <c r="N20" s="95">
        <f t="shared" ca="1" si="8"/>
        <v>37.849752117669134</v>
      </c>
      <c r="O20" s="95">
        <f t="shared" ca="1" si="8"/>
        <v>56.014020321295796</v>
      </c>
      <c r="P20" s="95">
        <f t="shared" ca="1" si="8"/>
        <v>69.479098355013136</v>
      </c>
      <c r="Q20" s="95">
        <f t="shared" ca="1" si="8"/>
        <v>83.366715156101776</v>
      </c>
    </row>
    <row r="21" spans="3:17" s="16" customFormat="1" hidden="1" outlineLevel="2">
      <c r="E21" s="171" t="s">
        <v>42</v>
      </c>
      <c r="J21" s="177">
        <f>IF(J$12&lt;=TS_Data_Total_Pers,BS_Hist_TO!J21+BS_Fcast_TO!J21,CFS_All_TO!J51)</f>
        <v>2.5</v>
      </c>
      <c r="K21" s="177">
        <f>IF(K$12&lt;=TS_Data_Total_Pers,BS_Hist_TO!K21+BS_Fcast_TO!K21,CFS_All_TO!K51)</f>
        <v>4.6483369006849671</v>
      </c>
      <c r="L21" s="177">
        <f>IF(L$12&lt;=TS_Data_Total_Pers,BS_Hist_TO!L21+BS_Fcast_TO!L21,CFS_All_TO!L51)</f>
        <v>12.48697107550386</v>
      </c>
      <c r="M21" s="177">
        <f ca="1">IF(M$12&lt;=TS_Data_Total_Pers,BS_Hist_TO!M21+BS_Fcast_TO!M21,CFS_All_TO!M51)</f>
        <v>13.214444141480307</v>
      </c>
      <c r="N21" s="177">
        <f ca="1">IF(N$12&lt;=TS_Data_Total_Pers,BS_Hist_TO!N21+BS_Fcast_TO!N21,CFS_All_TO!N51)</f>
        <v>18.164268203626662</v>
      </c>
      <c r="O21" s="177">
        <f ca="1">IF(O$12&lt;=TS_Data_Total_Pers,BS_Hist_TO!O21+BS_Fcast_TO!O21,CFS_All_TO!O51)</f>
        <v>13.465078033717337</v>
      </c>
      <c r="P21" s="177">
        <f ca="1">IF(P$12&lt;=TS_Data_Total_Pers,BS_Hist_TO!P21+BS_Fcast_TO!P21,CFS_All_TO!P51)</f>
        <v>13.887616801088644</v>
      </c>
      <c r="Q21" s="177">
        <f ca="1">IF(Q$12&lt;=TS_Data_Total_Pers,BS_Hist_TO!Q21+BS_Fcast_TO!Q21,CFS_All_TO!Q51)</f>
        <v>14.249085792645893</v>
      </c>
    </row>
    <row r="22" spans="3:17" s="25" customFormat="1" collapsed="1">
      <c r="D22" s="204" t="str">
        <f>BS_Hist_TA!D22</f>
        <v>Cash at Bank</v>
      </c>
      <c r="I22" s="220">
        <f>IF(ISBLANK(I$12),BS_Hist_TO!$I$22,SUM(I20:I21))</f>
        <v>5</v>
      </c>
      <c r="J22" s="220">
        <f>IF(ISBLANK(J$12),BS_Hist_TO!$I$22,SUM(J20:J21))</f>
        <v>7.5</v>
      </c>
      <c r="K22" s="220">
        <f>IF(ISBLANK(K$12),BS_Hist_TO!$I$22,SUM(K20:K21))</f>
        <v>12.148336900684967</v>
      </c>
      <c r="L22" s="220">
        <f>IF(ISBLANK(L$12),BS_Hist_TO!$I$22,SUM(L20:L21))</f>
        <v>24.635307976188827</v>
      </c>
      <c r="M22" s="220">
        <f ca="1">IF(ISBLANK(M$12),BS_Hist_TO!$I$22,SUM(M20:M21))</f>
        <v>37.849752117669134</v>
      </c>
      <c r="N22" s="220">
        <f ca="1">IF(ISBLANK(N$12),BS_Hist_TO!$I$22,SUM(N20:N21))</f>
        <v>56.014020321295796</v>
      </c>
      <c r="O22" s="220">
        <f ca="1">IF(ISBLANK(O$12),BS_Hist_TO!$I$22,SUM(O20:O21))</f>
        <v>69.479098355013136</v>
      </c>
      <c r="P22" s="220">
        <f ca="1">IF(ISBLANK(P$12),BS_Hist_TO!$I$22,SUM(P20:P21))</f>
        <v>83.366715156101776</v>
      </c>
      <c r="Q22" s="220">
        <f ca="1">IF(ISBLANK(Q$12),BS_Hist_TO!$I$22,SUM(Q20:Q21))</f>
        <v>97.615800948747676</v>
      </c>
    </row>
    <row r="23" spans="3:17" s="25" customFormat="1">
      <c r="D23" s="204" t="str">
        <f>BS_Hist_TA!D23</f>
        <v>Accounts Receivable</v>
      </c>
      <c r="I23" s="220">
        <f>IF(OR(ISBLANK(I$12),I$12&lt;=TS_Data_Full_Pers),BS_Hist_TO!I23,BS_Fcast_TO!I23)</f>
        <v>10.273972602739725</v>
      </c>
      <c r="J23" s="220">
        <f>IF(OR(ISBLANK(J$12),J$12&lt;=TS_Data_Full_Pers),BS_Hist_TO!J23,BS_Fcast_TO!J23)</f>
        <v>10.273972602739725</v>
      </c>
      <c r="K23" s="220">
        <f>IF(OR(ISBLANK(K$12),K$12&lt;=TS_Data_Full_Pers),BS_Hist_TO!K23,BS_Fcast_TO!K23)</f>
        <v>10.530821917808218</v>
      </c>
      <c r="L23" s="220">
        <f>IF(OR(ISBLANK(L$12),L$12&lt;=TS_Data_Full_Pers),BS_Hist_TO!L23,BS_Fcast_TO!L23)</f>
        <v>10.764600409836065</v>
      </c>
      <c r="M23" s="220">
        <f>IF(OR(ISBLANK(M$12),M$12&lt;=TS_Data_Full_Pers),BS_Hist_TO!M23,BS_Fcast_TO!M23)</f>
        <v>11.063944777397261</v>
      </c>
      <c r="N23" s="220">
        <f>IF(OR(ISBLANK(N$12),N$12&lt;=TS_Data_Full_Pers),BS_Hist_TO!N23,BS_Fcast_TO!N23)</f>
        <v>11.340543396832192</v>
      </c>
      <c r="O23" s="220">
        <f>IF(OR(ISBLANK(O$12),O$12&lt;=TS_Data_Full_Pers),BS_Hist_TO!O23,BS_Fcast_TO!O23)</f>
        <v>11.624056981752995</v>
      </c>
      <c r="P23" s="220">
        <f>IF(OR(ISBLANK(P$12),P$12&lt;=TS_Data_Full_Pers),BS_Hist_TO!P23,BS_Fcast_TO!P23)</f>
        <v>11.882104694804204</v>
      </c>
      <c r="Q23" s="220">
        <f>IF(OR(ISBLANK(Q$12),Q$12&lt;=TS_Data_Full_Pers),BS_Hist_TO!Q23,BS_Fcast_TO!Q23)</f>
        <v>12.212524866454237</v>
      </c>
    </row>
    <row r="24" spans="3:17" s="25" customFormat="1">
      <c r="D24" s="204" t="str">
        <f>BS_Hist_TA!D24</f>
        <v>Other Current Assets</v>
      </c>
      <c r="I24" s="145">
        <f>IF(OR(ISBLANK(I$12),I$12&lt;=TS_Data_Full_Pers),BS_Hist_TO!I24,BS_Fcast_TO!I24)</f>
        <v>3</v>
      </c>
      <c r="J24" s="145">
        <f>IF(OR(ISBLANK(J$12),J$12&lt;=TS_Data_Full_Pers),BS_Hist_TO!J24,BS_Fcast_TO!J24)</f>
        <v>3</v>
      </c>
      <c r="K24" s="145">
        <f>IF(OR(ISBLANK(K$12),K$12&lt;=TS_Data_Full_Pers),BS_Hist_TO!K24,BS_Fcast_TO!K24)</f>
        <v>4</v>
      </c>
      <c r="L24" s="145">
        <f>IF(OR(ISBLANK(L$12),L$12&lt;=TS_Data_Full_Pers),BS_Hist_TO!L24,BS_Fcast_TO!L24)</f>
        <v>5</v>
      </c>
      <c r="M24" s="145">
        <f>IF(OR(ISBLANK(M$12),M$12&lt;=TS_Data_Full_Pers),BS_Hist_TO!M24,BS_Fcast_TO!M24)</f>
        <v>6</v>
      </c>
      <c r="N24" s="145">
        <f>IF(OR(ISBLANK(N$12),N$12&lt;=TS_Data_Full_Pers),BS_Hist_TO!N24,BS_Fcast_TO!N24)</f>
        <v>7</v>
      </c>
      <c r="O24" s="145">
        <f>IF(OR(ISBLANK(O$12),O$12&lt;=TS_Data_Full_Pers),BS_Hist_TO!O24,BS_Fcast_TO!O24)</f>
        <v>8</v>
      </c>
      <c r="P24" s="145">
        <f>IF(OR(ISBLANK(P$12),P$12&lt;=TS_Data_Full_Pers),BS_Hist_TO!P24,BS_Fcast_TO!P24)</f>
        <v>9</v>
      </c>
      <c r="Q24" s="145">
        <f>IF(OR(ISBLANK(Q$12),Q$12&lt;=TS_Data_Full_Pers),BS_Hist_TO!Q24,BS_Fcast_TO!Q24)</f>
        <v>10</v>
      </c>
    </row>
    <row r="25" spans="3:17" s="25" customFormat="1">
      <c r="D25" s="180" t="str">
        <f>BS_Hist_TA!D25</f>
        <v>Total Current Assets</v>
      </c>
      <c r="I25" s="226">
        <f>I22+SUM(I23:I24)</f>
        <v>18.273972602739725</v>
      </c>
      <c r="J25" s="226">
        <f>J22+SUM(J23:J24)</f>
        <v>20.773972602739725</v>
      </c>
      <c r="K25" s="226">
        <f t="shared" ref="K25:Q25" si="9">K22+SUM(K23:K24)</f>
        <v>26.679158818493185</v>
      </c>
      <c r="L25" s="226">
        <f t="shared" si="9"/>
        <v>40.39990838602489</v>
      </c>
      <c r="M25" s="226">
        <f t="shared" ca="1" si="9"/>
        <v>54.913696895066394</v>
      </c>
      <c r="N25" s="226">
        <f t="shared" ca="1" si="9"/>
        <v>74.354563718127991</v>
      </c>
      <c r="O25" s="226">
        <f t="shared" ca="1" si="9"/>
        <v>89.103155336766122</v>
      </c>
      <c r="P25" s="226">
        <f t="shared" ca="1" si="9"/>
        <v>104.24881985090599</v>
      </c>
      <c r="Q25" s="226">
        <f t="shared" ca="1" si="9"/>
        <v>119.82832581520191</v>
      </c>
    </row>
    <row r="26" spans="3:17" s="25" customFormat="1">
      <c r="I26" s="144"/>
      <c r="J26" s="144"/>
      <c r="K26" s="144"/>
      <c r="L26" s="144"/>
      <c r="M26" s="144"/>
      <c r="N26" s="144"/>
      <c r="O26" s="144"/>
      <c r="P26" s="144"/>
      <c r="Q26" s="144"/>
    </row>
    <row r="27" spans="3:17" s="25" customFormat="1" ht="11.25">
      <c r="C27" s="217"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204" t="str">
        <f>BS_Hist_TA!D29</f>
        <v>Assets</v>
      </c>
      <c r="I29" s="220">
        <f>IF(OR(ISBLANK(I$12),I$12&lt;=TS_Data_Full_Pers),BS_Hist_TO!I29,BS_Fcast_TO!I29)</f>
        <v>146.5</v>
      </c>
      <c r="J29" s="220">
        <f>IF(OR(ISBLANK(J$12),J$12&lt;=TS_Data_Full_Pers),BS_Hist_TO!J29,BS_Fcast_TO!J29)</f>
        <v>146.5</v>
      </c>
      <c r="K29" s="220">
        <f>IF(OR(ISBLANK(K$12),K$12&lt;=TS_Data_Full_Pers),BS_Hist_TO!K29,BS_Fcast_TO!K29)</f>
        <v>148.03749999999999</v>
      </c>
      <c r="L29" s="220">
        <f>IF(OR(ISBLANK(L$12),L$12&lt;=TS_Data_Full_Pers),BS_Hist_TO!L29,BS_Fcast_TO!L29)</f>
        <v>149.6134375</v>
      </c>
      <c r="M29" s="220">
        <f ca="1">IF(OR(ISBLANK(M$12),M$12&lt;=TS_Data_Full_Pers),BS_Hist_TO!M29,BS_Fcast_TO!M29)</f>
        <v>151.22877343750002</v>
      </c>
      <c r="N29" s="220">
        <f ca="1">IF(OR(ISBLANK(N$12),N$12&lt;=TS_Data_Full_Pers),BS_Hist_TO!N29,BS_Fcast_TO!N29)</f>
        <v>152.88449277343753</v>
      </c>
      <c r="O29" s="220">
        <f ca="1">IF(OR(ISBLANK(O$12),O$12&lt;=TS_Data_Full_Pers),BS_Hist_TO!O29,BS_Fcast_TO!O29)</f>
        <v>154.58160509277349</v>
      </c>
      <c r="P29" s="220">
        <f ca="1">IF(OR(ISBLANK(P$12),P$12&lt;=TS_Data_Full_Pers),BS_Hist_TO!P29,BS_Fcast_TO!P29)</f>
        <v>156.32114522009283</v>
      </c>
      <c r="Q29" s="220">
        <f ca="1">IF(OR(ISBLANK(Q$12),Q$12&lt;=TS_Data_Full_Pers),BS_Hist_TO!Q29,BS_Fcast_TO!Q29)</f>
        <v>158.10417385059515</v>
      </c>
    </row>
    <row r="30" spans="3:17" s="25" customFormat="1">
      <c r="D30" s="204" t="str">
        <f>BS_Hist_TA!D30</f>
        <v>Intangibles</v>
      </c>
      <c r="I30" s="220">
        <f>IF(OR(ISBLANK(I$12),I$12&lt;=TS_Data_Full_Pers),BS_Hist_TO!I30,BS_Fcast_TO!I30)</f>
        <v>13.375</v>
      </c>
      <c r="J30" s="220">
        <f>IF(OR(ISBLANK(J$12),J$12&lt;=TS_Data_Full_Pers),BS_Hist_TO!J30,BS_Fcast_TO!J30)</f>
        <v>13.375</v>
      </c>
      <c r="K30" s="220">
        <f>IF(OR(ISBLANK(K$12),K$12&lt;=TS_Data_Full_Pers),BS_Hist_TO!K30,BS_Fcast_TO!K30)</f>
        <v>15.296875</v>
      </c>
      <c r="L30" s="220">
        <f>IF(OR(ISBLANK(L$12),L$12&lt;=TS_Data_Full_Pers),BS_Hist_TO!L30,BS_Fcast_TO!L30)</f>
        <v>17.266796874999997</v>
      </c>
      <c r="M30" s="220">
        <f ca="1">IF(OR(ISBLANK(M$12),M$12&lt;=TS_Data_Full_Pers),BS_Hist_TO!M30,BS_Fcast_TO!M30)</f>
        <v>19.285966796874998</v>
      </c>
      <c r="N30" s="220">
        <f ca="1">IF(OR(ISBLANK(N$12),N$12&lt;=TS_Data_Full_Pers),BS_Hist_TO!N30,BS_Fcast_TO!N30)</f>
        <v>21.355615966796872</v>
      </c>
      <c r="O30" s="220">
        <f ca="1">IF(OR(ISBLANK(O$12),O$12&lt;=TS_Data_Full_Pers),BS_Hist_TO!O30,BS_Fcast_TO!O30)</f>
        <v>23.477006365966794</v>
      </c>
      <c r="P30" s="220">
        <f ca="1">IF(OR(ISBLANK(P$12),P$12&lt;=TS_Data_Full_Pers),BS_Hist_TO!P30,BS_Fcast_TO!P30)</f>
        <v>25.651431525115964</v>
      </c>
      <c r="Q30" s="220">
        <f ca="1">IF(OR(ISBLANK(Q$12),Q$12&lt;=TS_Data_Full_Pers),BS_Hist_TO!Q30,BS_Fcast_TO!Q30)</f>
        <v>27.880217313243865</v>
      </c>
    </row>
    <row r="31" spans="3:17" s="25" customFormat="1">
      <c r="D31" s="204" t="str">
        <f>BS_Hist_TA!D31</f>
        <v>Deferred Tax Assets</v>
      </c>
      <c r="I31" s="220">
        <f>IF(OR(ISBLANK(I$12),I$12&lt;=TS_Data_Full_Pers),BS_Hist_TO!I31,BS_Fcast_TO!I31)</f>
        <v>0</v>
      </c>
      <c r="J31" s="220">
        <f>IF(OR(ISBLANK(J$12),J$12&lt;=TS_Data_Full_Pers),BS_Hist_TO!J31,BS_Fcast_TO!J31)</f>
        <v>0</v>
      </c>
      <c r="K31" s="220">
        <f>IF(OR(ISBLANK(K$12),K$12&lt;=TS_Data_Full_Pers),BS_Hist_TO!K31,BS_Fcast_TO!K31)</f>
        <v>0</v>
      </c>
      <c r="L31" s="220">
        <f>IF(OR(ISBLANK(L$12),L$12&lt;=TS_Data_Full_Pers),BS_Hist_TO!L31,BS_Fcast_TO!L31)</f>
        <v>0</v>
      </c>
      <c r="M31" s="220">
        <f ca="1">IF(OR(ISBLANK(M$12),M$12&lt;=TS_Data_Full_Pers),BS_Hist_TO!M31,BS_Fcast_TO!M31)</f>
        <v>0</v>
      </c>
      <c r="N31" s="220">
        <f ca="1">IF(OR(ISBLANK(N$12),N$12&lt;=TS_Data_Full_Pers),BS_Hist_TO!N31,BS_Fcast_TO!N31)</f>
        <v>0</v>
      </c>
      <c r="O31" s="220">
        <f ca="1">IF(OR(ISBLANK(O$12),O$12&lt;=TS_Data_Full_Pers),BS_Hist_TO!O31,BS_Fcast_TO!O31)</f>
        <v>0</v>
      </c>
      <c r="P31" s="220">
        <f ca="1">IF(OR(ISBLANK(P$12),P$12&lt;=TS_Data_Full_Pers),BS_Hist_TO!P31,BS_Fcast_TO!P31)</f>
        <v>0</v>
      </c>
      <c r="Q31" s="220">
        <f ca="1">IF(OR(ISBLANK(Q$12),Q$12&lt;=TS_Data_Full_Pers),BS_Hist_TO!Q31,BS_Fcast_TO!Q31)</f>
        <v>0</v>
      </c>
    </row>
    <row r="32" spans="3:17" s="25" customFormat="1">
      <c r="D32" s="204" t="str">
        <f>BS_Hist_TA!D32</f>
        <v>Other Non-Current Assets</v>
      </c>
      <c r="I32" s="145">
        <f>IF(OR(ISBLANK(I$12),I$12&lt;=TS_Data_Full_Pers),BS_Hist_TO!I32,BS_Fcast_TO!I32)</f>
        <v>4</v>
      </c>
      <c r="J32" s="145">
        <f>IF(OR(ISBLANK(J$12),J$12&lt;=TS_Data_Full_Pers),BS_Hist_TO!J32,BS_Fcast_TO!J32)</f>
        <v>4</v>
      </c>
      <c r="K32" s="145">
        <f>IF(OR(ISBLANK(K$12),K$12&lt;=TS_Data_Full_Pers),BS_Hist_TO!K32,BS_Fcast_TO!K32)</f>
        <v>5</v>
      </c>
      <c r="L32" s="145">
        <f>IF(OR(ISBLANK(L$12),L$12&lt;=TS_Data_Full_Pers),BS_Hist_TO!L32,BS_Fcast_TO!L32)</f>
        <v>6</v>
      </c>
      <c r="M32" s="145">
        <f>IF(OR(ISBLANK(M$12),M$12&lt;=TS_Data_Full_Pers),BS_Hist_TO!M32,BS_Fcast_TO!M32)</f>
        <v>7</v>
      </c>
      <c r="N32" s="145">
        <f>IF(OR(ISBLANK(N$12),N$12&lt;=TS_Data_Full_Pers),BS_Hist_TO!N32,BS_Fcast_TO!N32)</f>
        <v>8</v>
      </c>
      <c r="O32" s="145">
        <f>IF(OR(ISBLANK(O$12),O$12&lt;=TS_Data_Full_Pers),BS_Hist_TO!O32,BS_Fcast_TO!O32)</f>
        <v>9</v>
      </c>
      <c r="P32" s="145">
        <f>IF(OR(ISBLANK(P$12),P$12&lt;=TS_Data_Full_Pers),BS_Hist_TO!P32,BS_Fcast_TO!P32)</f>
        <v>10</v>
      </c>
      <c r="Q32" s="145">
        <f>IF(OR(ISBLANK(Q$12),Q$12&lt;=TS_Data_Full_Pers),BS_Hist_TO!Q32,BS_Fcast_TO!Q32)</f>
        <v>11</v>
      </c>
    </row>
    <row r="33" spans="3:17" s="25" customFormat="1">
      <c r="D33" s="180" t="str">
        <f>BS_Hist_TA!D33</f>
        <v>Total Non-Current Assets</v>
      </c>
      <c r="I33" s="226">
        <f>SUM(I29:I32)</f>
        <v>163.875</v>
      </c>
      <c r="J33" s="226">
        <f>SUM(J29:J32)</f>
        <v>163.875</v>
      </c>
      <c r="K33" s="226">
        <f t="shared" ref="K33:Q33" si="10">SUM(K29:K32)</f>
        <v>168.33437499999999</v>
      </c>
      <c r="L33" s="226">
        <f t="shared" si="10"/>
        <v>172.88023437499999</v>
      </c>
      <c r="M33" s="226">
        <f t="shared" ca="1" si="10"/>
        <v>177.51474023437501</v>
      </c>
      <c r="N33" s="226">
        <f t="shared" ca="1" si="10"/>
        <v>182.2401087402344</v>
      </c>
      <c r="O33" s="226">
        <f t="shared" ca="1" si="10"/>
        <v>187.05861145874027</v>
      </c>
      <c r="P33" s="226">
        <f t="shared" ca="1" si="10"/>
        <v>191.97257674520878</v>
      </c>
      <c r="Q33" s="226">
        <f t="shared" ca="1" si="10"/>
        <v>196.98439116383901</v>
      </c>
    </row>
    <row r="34" spans="3:17" s="25" customFormat="1">
      <c r="I34" s="144"/>
      <c r="J34" s="144"/>
      <c r="K34" s="144"/>
      <c r="L34" s="144"/>
      <c r="M34" s="144"/>
      <c r="N34" s="144"/>
      <c r="O34" s="144"/>
      <c r="P34" s="144"/>
      <c r="Q34" s="144"/>
    </row>
    <row r="35" spans="3:17" s="25" customFormat="1" ht="11.25">
      <c r="C35" s="217" t="str">
        <f>BS_Hist_TA!C35</f>
        <v>Total Assets</v>
      </c>
      <c r="I35" s="212">
        <f t="shared" ref="I35:Q35" si="11">I25+I33</f>
        <v>182.14897260273972</v>
      </c>
      <c r="J35" s="212">
        <f t="shared" si="11"/>
        <v>184.64897260273972</v>
      </c>
      <c r="K35" s="212">
        <f t="shared" si="11"/>
        <v>195.01353381849319</v>
      </c>
      <c r="L35" s="212">
        <f t="shared" si="11"/>
        <v>213.28014276102488</v>
      </c>
      <c r="M35" s="212">
        <f t="shared" ca="1" si="11"/>
        <v>232.42843712944142</v>
      </c>
      <c r="N35" s="212">
        <f t="shared" ca="1" si="11"/>
        <v>256.59467245836242</v>
      </c>
      <c r="O35" s="212">
        <f t="shared" ca="1" si="11"/>
        <v>276.16176679550642</v>
      </c>
      <c r="P35" s="212">
        <f t="shared" ca="1" si="11"/>
        <v>296.2213965961148</v>
      </c>
      <c r="Q35" s="212">
        <f t="shared" ca="1" si="11"/>
        <v>316.81271697904094</v>
      </c>
    </row>
    <row r="36" spans="3:17" s="25" customFormat="1">
      <c r="I36" s="144"/>
      <c r="J36" s="144"/>
      <c r="K36" s="144"/>
      <c r="L36" s="144"/>
      <c r="M36" s="144"/>
      <c r="N36" s="144"/>
      <c r="O36" s="144"/>
      <c r="P36" s="144"/>
      <c r="Q36" s="144"/>
    </row>
    <row r="37" spans="3:17" s="25" customFormat="1" ht="11.25">
      <c r="C37" s="217"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204" t="str">
        <f>BS_Hist_TA!D39</f>
        <v>Accounts Payable</v>
      </c>
      <c r="I39" s="220">
        <f>IF(OR(ISBLANK(I$12),I$12&lt;=TS_Data_Full_Pers),BS_Hist_TO!I39,BS_Fcast_TO!I39)</f>
        <v>8.0136986301369859</v>
      </c>
      <c r="J39" s="220">
        <f>IF(OR(ISBLANK(J$12),J$12&lt;=TS_Data_Full_Pers),BS_Hist_TO!J39,BS_Fcast_TO!J39)</f>
        <v>8.0136986301369859</v>
      </c>
      <c r="K39" s="220">
        <f>IF(OR(ISBLANK(K$12),K$12&lt;=TS_Data_Full_Pers),BS_Hist_TO!K39,BS_Fcast_TO!K39)</f>
        <v>8.2140410958904102</v>
      </c>
      <c r="L39" s="220">
        <f>IF(OR(ISBLANK(L$12),L$12&lt;=TS_Data_Full_Pers),BS_Hist_TO!L39,BS_Fcast_TO!L39)</f>
        <v>8.3963883196721305</v>
      </c>
      <c r="M39" s="220">
        <f>IF(OR(ISBLANK(M$12),M$12&lt;=TS_Data_Full_Pers),BS_Hist_TO!M39,BS_Fcast_TO!M39)</f>
        <v>8.629876926369862</v>
      </c>
      <c r="N39" s="220">
        <f>IF(OR(ISBLANK(N$12),N$12&lt;=TS_Data_Full_Pers),BS_Hist_TO!N39,BS_Fcast_TO!N39)</f>
        <v>8.8456238495291082</v>
      </c>
      <c r="O39" s="220">
        <f>IF(OR(ISBLANK(O$12),O$12&lt;=TS_Data_Full_Pers),BS_Hist_TO!O39,BS_Fcast_TO!O39)</f>
        <v>9.0667644457673351</v>
      </c>
      <c r="P39" s="220">
        <f>IF(OR(ISBLANK(P$12),P$12&lt;=TS_Data_Full_Pers),BS_Hist_TO!P39,BS_Fcast_TO!P39)</f>
        <v>9.2680416619472759</v>
      </c>
      <c r="Q39" s="220">
        <f>IF(OR(ISBLANK(Q$12),Q$12&lt;=TS_Data_Full_Pers),BS_Hist_TO!Q39,BS_Fcast_TO!Q39)</f>
        <v>9.5257693958343044</v>
      </c>
    </row>
    <row r="40" spans="3:17" s="25" customFormat="1">
      <c r="D40" s="204" t="str">
        <f>BS_Hist_TA!D40</f>
        <v>Tax Payable</v>
      </c>
      <c r="I40" s="220">
        <f>IF(OR(ISBLANK(I$12),I$12&lt;=TS_Data_Full_Pers),BS_Hist_TO!I40,BS_Fcast_TO!I40)</f>
        <v>12.787500000000001</v>
      </c>
      <c r="J40" s="220">
        <f>IF(OR(ISBLANK(J$12),J$12&lt;=TS_Data_Full_Pers),BS_Hist_TO!J40,BS_Fcast_TO!J40)</f>
        <v>12.787500000000001</v>
      </c>
      <c r="K40" s="220">
        <f>IF(OR(ISBLANK(K$12),K$12&lt;=TS_Data_Full_Pers),BS_Hist_TO!K40,BS_Fcast_TO!K40)</f>
        <v>13.131562500000003</v>
      </c>
      <c r="L40" s="220">
        <f>IF(OR(ISBLANK(L$12),L$12&lt;=TS_Data_Full_Pers),BS_Hist_TO!L40,BS_Fcast_TO!L40)</f>
        <v>13.484226562500004</v>
      </c>
      <c r="M40" s="220">
        <f ca="1">IF(OR(ISBLANK(M$12),M$12&lt;=TS_Data_Full_Pers),BS_Hist_TO!M40,BS_Fcast_TO!M40)</f>
        <v>13.845707226562505</v>
      </c>
      <c r="N40" s="220">
        <f ca="1">IF(OR(ISBLANK(N$12),N$12&lt;=TS_Data_Full_Pers),BS_Hist_TO!N40,BS_Fcast_TO!N40)</f>
        <v>14.16747490722657</v>
      </c>
      <c r="O40" s="220">
        <f ca="1">IF(OR(ISBLANK(O$12),O$12&lt;=TS_Data_Full_Pers),BS_Hist_TO!O40,BS_Fcast_TO!O40)</f>
        <v>14.498505529907231</v>
      </c>
      <c r="P40" s="220">
        <f ca="1">IF(OR(ISBLANK(P$12),P$12&lt;=TS_Data_Full_Pers),BS_Hist_TO!P40,BS_Fcast_TO!P40)</f>
        <v>14.88778066815491</v>
      </c>
      <c r="Q40" s="220">
        <f ca="1">IF(OR(ISBLANK(Q$12),Q$12&lt;=TS_Data_Full_Pers),BS_Hist_TO!Q40,BS_Fcast_TO!Q40)</f>
        <v>15.286787684858776</v>
      </c>
    </row>
    <row r="41" spans="3:17" s="25" customFormat="1">
      <c r="D41" s="204" t="str">
        <f>BS_Hist_TA!D41</f>
        <v>Interest Payable</v>
      </c>
      <c r="I41" s="220">
        <f>IF(OR(ISBLANK(I$12),I$12&lt;=TS_Data_Full_Pers),BS_Hist_TO!I41,BS_Fcast_TO!I41)</f>
        <v>0</v>
      </c>
      <c r="J41" s="220">
        <f>IF(OR(ISBLANK(J$12),J$12&lt;=TS_Data_Full_Pers),BS_Hist_TO!J41,BS_Fcast_TO!J41)</f>
        <v>0</v>
      </c>
      <c r="K41" s="220">
        <f>IF(OR(ISBLANK(K$12),K$12&lt;=TS_Data_Full_Pers),BS_Hist_TO!K41,BS_Fcast_TO!K41)</f>
        <v>0</v>
      </c>
      <c r="L41" s="220">
        <f>IF(OR(ISBLANK(L$12),L$12&lt;=TS_Data_Full_Pers),BS_Hist_TO!L41,BS_Fcast_TO!L41)</f>
        <v>0</v>
      </c>
      <c r="M41" s="220">
        <f ca="1">IF(OR(ISBLANK(M$12),M$12&lt;=TS_Data_Full_Pers),BS_Hist_TO!M41,BS_Fcast_TO!M41)</f>
        <v>0</v>
      </c>
      <c r="N41" s="220">
        <f ca="1">IF(OR(ISBLANK(N$12),N$12&lt;=TS_Data_Full_Pers),BS_Hist_TO!N41,BS_Fcast_TO!N41)</f>
        <v>0</v>
      </c>
      <c r="O41" s="220">
        <f ca="1">IF(OR(ISBLANK(O$12),O$12&lt;=TS_Data_Full_Pers),BS_Hist_TO!O41,BS_Fcast_TO!O41)</f>
        <v>0</v>
      </c>
      <c r="P41" s="220">
        <f ca="1">IF(OR(ISBLANK(P$12),P$12&lt;=TS_Data_Full_Pers),BS_Hist_TO!P41,BS_Fcast_TO!P41)</f>
        <v>0</v>
      </c>
      <c r="Q41" s="220">
        <f ca="1">IF(OR(ISBLANK(Q$12),Q$12&lt;=TS_Data_Full_Pers),BS_Hist_TO!Q41,BS_Fcast_TO!Q41)</f>
        <v>0</v>
      </c>
    </row>
    <row r="42" spans="3:17" s="25" customFormat="1">
      <c r="D42" s="204" t="str">
        <f>BS_Hist_TA!D42</f>
        <v>Ordinary Equity Dividends Payable</v>
      </c>
      <c r="I42" s="220">
        <f>IF(OR(ISBLANK(I$12),I$12&lt;=TS_Data_Full_Pers),BS_Hist_TO!I42,BS_Fcast_TO!I42)</f>
        <v>0</v>
      </c>
      <c r="J42" s="220">
        <f>IF(OR(ISBLANK(J$12),J$12&lt;=TS_Data_Full_Pers),BS_Hist_TO!J42,BS_Fcast_TO!J42)</f>
        <v>0</v>
      </c>
      <c r="K42" s="220">
        <f>IF(OR(ISBLANK(K$12),K$12&lt;=TS_Data_Full_Pers),BS_Hist_TO!K42,BS_Fcast_TO!K42)</f>
        <v>0</v>
      </c>
      <c r="L42" s="220">
        <f>IF(OR(ISBLANK(L$12),L$12&lt;=TS_Data_Full_Pers),BS_Hist_TO!L42,BS_Fcast_TO!L42)</f>
        <v>0</v>
      </c>
      <c r="M42" s="220">
        <f ca="1">IF(OR(ISBLANK(M$12),M$12&lt;=TS_Data_Full_Pers),BS_Hist_TO!M42,BS_Fcast_TO!M42)</f>
        <v>0</v>
      </c>
      <c r="N42" s="220">
        <f ca="1">IF(OR(ISBLANK(N$12),N$12&lt;=TS_Data_Full_Pers),BS_Hist_TO!N42,BS_Fcast_TO!N42)</f>
        <v>0</v>
      </c>
      <c r="O42" s="220">
        <f ca="1">IF(OR(ISBLANK(O$12),O$12&lt;=TS_Data_Full_Pers),BS_Hist_TO!O42,BS_Fcast_TO!O42)</f>
        <v>0</v>
      </c>
      <c r="P42" s="220">
        <f ca="1">IF(OR(ISBLANK(P$12),P$12&lt;=TS_Data_Full_Pers),BS_Hist_TO!P42,BS_Fcast_TO!P42)</f>
        <v>0</v>
      </c>
      <c r="Q42" s="220">
        <f ca="1">IF(OR(ISBLANK(Q$12),Q$12&lt;=TS_Data_Full_Pers),BS_Hist_TO!Q42,BS_Fcast_TO!Q42)</f>
        <v>0</v>
      </c>
    </row>
    <row r="43" spans="3:17" s="25" customFormat="1">
      <c r="D43" s="204" t="str">
        <f>BS_Hist_TA!D43</f>
        <v>Other Current Liabilities</v>
      </c>
      <c r="I43" s="145">
        <f>IF(OR(ISBLANK(I$12),I$12&lt;=TS_Data_Full_Pers),BS_Hist_TO!I43,BS_Fcast_TO!I43)</f>
        <v>5</v>
      </c>
      <c r="J43" s="145">
        <f>IF(OR(ISBLANK(J$12),J$12&lt;=TS_Data_Full_Pers),BS_Hist_TO!J43,BS_Fcast_TO!J43)</f>
        <v>5</v>
      </c>
      <c r="K43" s="145">
        <f>IF(OR(ISBLANK(K$12),K$12&lt;=TS_Data_Full_Pers),BS_Hist_TO!K43,BS_Fcast_TO!K43)</f>
        <v>6</v>
      </c>
      <c r="L43" s="145">
        <f>IF(OR(ISBLANK(L$12),L$12&lt;=TS_Data_Full_Pers),BS_Hist_TO!L43,BS_Fcast_TO!L43)</f>
        <v>7</v>
      </c>
      <c r="M43" s="145">
        <f>IF(OR(ISBLANK(M$12),M$12&lt;=TS_Data_Full_Pers),BS_Hist_TO!M43,BS_Fcast_TO!M43)</f>
        <v>8</v>
      </c>
      <c r="N43" s="145">
        <f>IF(OR(ISBLANK(N$12),N$12&lt;=TS_Data_Full_Pers),BS_Hist_TO!N43,BS_Fcast_TO!N43)</f>
        <v>9</v>
      </c>
      <c r="O43" s="145">
        <f>IF(OR(ISBLANK(O$12),O$12&lt;=TS_Data_Full_Pers),BS_Hist_TO!O43,BS_Fcast_TO!O43)</f>
        <v>10</v>
      </c>
      <c r="P43" s="145">
        <f>IF(OR(ISBLANK(P$12),P$12&lt;=TS_Data_Full_Pers),BS_Hist_TO!P43,BS_Fcast_TO!P43)</f>
        <v>11</v>
      </c>
      <c r="Q43" s="145">
        <f>IF(OR(ISBLANK(Q$12),Q$12&lt;=TS_Data_Full_Pers),BS_Hist_TO!Q43,BS_Fcast_TO!Q43)</f>
        <v>12</v>
      </c>
    </row>
    <row r="44" spans="3:17" s="25" customFormat="1">
      <c r="D44" s="180" t="str">
        <f>BS_Hist_TA!D44</f>
        <v>Total Current Liabilities</v>
      </c>
      <c r="I44" s="226">
        <f>SUM(I39:I43)</f>
        <v>25.801198630136987</v>
      </c>
      <c r="J44" s="226">
        <f>SUM(J39:J43)</f>
        <v>25.801198630136987</v>
      </c>
      <c r="K44" s="226">
        <f t="shared" ref="K44:Q44" si="12">SUM(K39:K43)</f>
        <v>27.345603595890413</v>
      </c>
      <c r="L44" s="226">
        <f t="shared" si="12"/>
        <v>28.880614882172132</v>
      </c>
      <c r="M44" s="226">
        <f t="shared" ca="1" si="12"/>
        <v>30.475584152932367</v>
      </c>
      <c r="N44" s="226">
        <f t="shared" ca="1" si="12"/>
        <v>32.013098756755682</v>
      </c>
      <c r="O44" s="226">
        <f t="shared" ca="1" si="12"/>
        <v>33.565269975674568</v>
      </c>
      <c r="P44" s="226">
        <f t="shared" ca="1" si="12"/>
        <v>35.155822330102183</v>
      </c>
      <c r="Q44" s="226">
        <f t="shared" ca="1" si="12"/>
        <v>36.812557080693082</v>
      </c>
    </row>
    <row r="45" spans="3:17" s="25" customFormat="1">
      <c r="I45" s="144"/>
      <c r="J45" s="144"/>
      <c r="K45" s="144"/>
      <c r="L45" s="144"/>
      <c r="M45" s="144"/>
      <c r="N45" s="144"/>
      <c r="O45" s="144"/>
      <c r="P45" s="144"/>
      <c r="Q45" s="144"/>
    </row>
    <row r="46" spans="3:17" s="25" customFormat="1" ht="11.25">
      <c r="C46" s="217"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204" t="str">
        <f>BS_Hist_TA!D48</f>
        <v>Debt</v>
      </c>
      <c r="I48" s="220">
        <f>IF(OR(ISBLANK(I$12),I$12&lt;=TS_Data_Full_Pers),BS_Hist_TO!I48,BS_Fcast_TO!I48)</f>
        <v>50</v>
      </c>
      <c r="J48" s="220">
        <f>IF(OR(ISBLANK(J$12),J$12&lt;=TS_Data_Full_Pers),BS_Hist_TO!J48,BS_Fcast_TO!J48)</f>
        <v>50</v>
      </c>
      <c r="K48" s="220">
        <f>IF(OR(ISBLANK(K$12),K$12&lt;=TS_Data_Full_Pers),BS_Hist_TO!K48,BS_Fcast_TO!K48)</f>
        <v>50</v>
      </c>
      <c r="L48" s="220">
        <f>IF(OR(ISBLANK(L$12),L$12&lt;=TS_Data_Full_Pers),BS_Hist_TO!L48,BS_Fcast_TO!L48)</f>
        <v>50</v>
      </c>
      <c r="M48" s="220">
        <f ca="1">IF(OR(ISBLANK(M$12),M$12&lt;=TS_Data_Full_Pers),BS_Hist_TO!M48,BS_Fcast_TO!M48)</f>
        <v>50</v>
      </c>
      <c r="N48" s="220">
        <f ca="1">IF(OR(ISBLANK(N$12),N$12&lt;=TS_Data_Full_Pers),BS_Hist_TO!N48,BS_Fcast_TO!N48)</f>
        <v>55</v>
      </c>
      <c r="O48" s="220">
        <f ca="1">IF(OR(ISBLANK(O$12),O$12&lt;=TS_Data_Full_Pers),BS_Hist_TO!O48,BS_Fcast_TO!O48)</f>
        <v>55</v>
      </c>
      <c r="P48" s="220">
        <f ca="1">IF(OR(ISBLANK(P$12),P$12&lt;=TS_Data_Full_Pers),BS_Hist_TO!P48,BS_Fcast_TO!P48)</f>
        <v>55</v>
      </c>
      <c r="Q48" s="220">
        <f ca="1">IF(OR(ISBLANK(Q$12),Q$12&lt;=TS_Data_Full_Pers),BS_Hist_TO!Q48,BS_Fcast_TO!Q48)</f>
        <v>55</v>
      </c>
    </row>
    <row r="49" spans="3:17" s="25" customFormat="1">
      <c r="D49" s="204" t="str">
        <f>BS_Hist_TA!D49</f>
        <v>Deferred Tax Liabilities</v>
      </c>
      <c r="I49" s="220">
        <f>IF(OR(ISBLANK(I$12),I$12&lt;=TS_Data_Full_Pers),BS_Hist_TO!I49,BS_Fcast_TO!I49)</f>
        <v>0</v>
      </c>
      <c r="J49" s="220">
        <f>IF(OR(ISBLANK(J$12),J$12&lt;=TS_Data_Full_Pers),BS_Hist_TO!J49,BS_Fcast_TO!J49)</f>
        <v>0</v>
      </c>
      <c r="K49" s="220">
        <f>IF(OR(ISBLANK(K$12),K$12&lt;=TS_Data_Full_Pers),BS_Hist_TO!K49,BS_Fcast_TO!K49)</f>
        <v>0</v>
      </c>
      <c r="L49" s="220">
        <f>IF(OR(ISBLANK(L$12),L$12&lt;=TS_Data_Full_Pers),BS_Hist_TO!L49,BS_Fcast_TO!L49)</f>
        <v>0</v>
      </c>
      <c r="M49" s="220">
        <f ca="1">IF(OR(ISBLANK(M$12),M$12&lt;=TS_Data_Full_Pers),BS_Hist_TO!M49,BS_Fcast_TO!M49)</f>
        <v>0</v>
      </c>
      <c r="N49" s="220">
        <f ca="1">IF(OR(ISBLANK(N$12),N$12&lt;=TS_Data_Full_Pers),BS_Hist_TO!N49,BS_Fcast_TO!N49)</f>
        <v>0</v>
      </c>
      <c r="O49" s="220">
        <f ca="1">IF(OR(ISBLANK(O$12),O$12&lt;=TS_Data_Full_Pers),BS_Hist_TO!O49,BS_Fcast_TO!O49)</f>
        <v>0</v>
      </c>
      <c r="P49" s="220">
        <f ca="1">IF(OR(ISBLANK(P$12),P$12&lt;=TS_Data_Full_Pers),BS_Hist_TO!P49,BS_Fcast_TO!P49)</f>
        <v>0</v>
      </c>
      <c r="Q49" s="220">
        <f ca="1">IF(OR(ISBLANK(Q$12),Q$12&lt;=TS_Data_Full_Pers),BS_Hist_TO!Q49,BS_Fcast_TO!Q49)</f>
        <v>0</v>
      </c>
    </row>
    <row r="50" spans="3:17" s="25" customFormat="1">
      <c r="D50" s="204" t="str">
        <f>BS_Hist_TA!D50</f>
        <v>Other Non-Current Liabilities</v>
      </c>
      <c r="I50" s="145">
        <f>IF(OR(ISBLANK(I$12),I$12&lt;=TS_Data_Full_Pers),BS_Hist_TO!I50,BS_Fcast_TO!I50)</f>
        <v>6</v>
      </c>
      <c r="J50" s="145">
        <f>IF(OR(ISBLANK(J$12),J$12&lt;=TS_Data_Full_Pers),BS_Hist_TO!J50,BS_Fcast_TO!J50)</f>
        <v>6</v>
      </c>
      <c r="K50" s="145">
        <f>IF(OR(ISBLANK(K$12),K$12&lt;=TS_Data_Full_Pers),BS_Hist_TO!K50,BS_Fcast_TO!K50)</f>
        <v>7</v>
      </c>
      <c r="L50" s="145">
        <f>IF(OR(ISBLANK(L$12),L$12&lt;=TS_Data_Full_Pers),BS_Hist_TO!L50,BS_Fcast_TO!L50)</f>
        <v>8</v>
      </c>
      <c r="M50" s="145">
        <f>IF(OR(ISBLANK(M$12),M$12&lt;=TS_Data_Full_Pers),BS_Hist_TO!M50,BS_Fcast_TO!M50)</f>
        <v>9</v>
      </c>
      <c r="N50" s="145">
        <f>IF(OR(ISBLANK(N$12),N$12&lt;=TS_Data_Full_Pers),BS_Hist_TO!N50,BS_Fcast_TO!N50)</f>
        <v>10</v>
      </c>
      <c r="O50" s="145">
        <f>IF(OR(ISBLANK(O$12),O$12&lt;=TS_Data_Full_Pers),BS_Hist_TO!O50,BS_Fcast_TO!O50)</f>
        <v>11</v>
      </c>
      <c r="P50" s="145">
        <f>IF(OR(ISBLANK(P$12),P$12&lt;=TS_Data_Full_Pers),BS_Hist_TO!P50,BS_Fcast_TO!P50)</f>
        <v>12</v>
      </c>
      <c r="Q50" s="145">
        <f>IF(OR(ISBLANK(Q$12),Q$12&lt;=TS_Data_Full_Pers),BS_Hist_TO!Q50,BS_Fcast_TO!Q50)</f>
        <v>13</v>
      </c>
    </row>
    <row r="51" spans="3:17" s="25" customFormat="1">
      <c r="D51" s="180" t="str">
        <f>BS_Hist_TA!D51</f>
        <v>Total Non-Current Liabilities</v>
      </c>
      <c r="I51" s="226">
        <f>SUM(I48:I50)</f>
        <v>56</v>
      </c>
      <c r="J51" s="226">
        <f>SUM(J48:J50)</f>
        <v>56</v>
      </c>
      <c r="K51" s="226">
        <f t="shared" ref="K51:Q51" si="13">SUM(K48:K50)</f>
        <v>57</v>
      </c>
      <c r="L51" s="226">
        <f t="shared" si="13"/>
        <v>58</v>
      </c>
      <c r="M51" s="226">
        <f t="shared" ca="1" si="13"/>
        <v>59</v>
      </c>
      <c r="N51" s="226">
        <f t="shared" ca="1" si="13"/>
        <v>65</v>
      </c>
      <c r="O51" s="226">
        <f t="shared" ca="1" si="13"/>
        <v>66</v>
      </c>
      <c r="P51" s="226">
        <f t="shared" ca="1" si="13"/>
        <v>67</v>
      </c>
      <c r="Q51" s="226">
        <f t="shared" ca="1" si="13"/>
        <v>68</v>
      </c>
    </row>
    <row r="52" spans="3:17" s="25" customFormat="1">
      <c r="I52" s="144"/>
      <c r="J52" s="144"/>
      <c r="K52" s="144"/>
      <c r="L52" s="144"/>
      <c r="M52" s="144"/>
      <c r="N52" s="144"/>
      <c r="O52" s="144"/>
      <c r="P52" s="144"/>
      <c r="Q52" s="144"/>
    </row>
    <row r="53" spans="3:17" s="25" customFormat="1" ht="11.25">
      <c r="C53" s="217" t="str">
        <f>BS_Hist_TA!C53</f>
        <v>Total Liabilities</v>
      </c>
      <c r="I53" s="212">
        <f t="shared" ref="I53:Q53" si="14">I44+I51</f>
        <v>81.80119863013698</v>
      </c>
      <c r="J53" s="212">
        <f t="shared" si="14"/>
        <v>81.80119863013698</v>
      </c>
      <c r="K53" s="212">
        <f t="shared" si="14"/>
        <v>84.34560359589041</v>
      </c>
      <c r="L53" s="212">
        <f t="shared" si="14"/>
        <v>86.880614882172125</v>
      </c>
      <c r="M53" s="212">
        <f t="shared" ca="1" si="14"/>
        <v>89.47558415293237</v>
      </c>
      <c r="N53" s="212">
        <f t="shared" ca="1" si="14"/>
        <v>97.013098756755682</v>
      </c>
      <c r="O53" s="212">
        <f t="shared" ca="1" si="14"/>
        <v>99.565269975674568</v>
      </c>
      <c r="P53" s="212">
        <f t="shared" ca="1" si="14"/>
        <v>102.15582233010218</v>
      </c>
      <c r="Q53" s="212">
        <f t="shared" ca="1" si="14"/>
        <v>104.81255708069308</v>
      </c>
    </row>
    <row r="54" spans="3:17" s="25" customFormat="1">
      <c r="I54" s="144"/>
      <c r="J54" s="144"/>
      <c r="K54" s="144"/>
      <c r="L54" s="144"/>
      <c r="M54" s="144"/>
      <c r="N54" s="144"/>
      <c r="O54" s="144"/>
      <c r="P54" s="144"/>
      <c r="Q54" s="144"/>
    </row>
    <row r="55" spans="3:17" s="25" customFormat="1" ht="12" thickBot="1">
      <c r="C55" s="217" t="str">
        <f>BS_Hist_TA!C55</f>
        <v>Net Assets</v>
      </c>
      <c r="I55" s="214">
        <f t="shared" ref="I55:Q55" si="15">I35-I53</f>
        <v>100.34777397260274</v>
      </c>
      <c r="J55" s="214">
        <f t="shared" si="15"/>
        <v>102.84777397260274</v>
      </c>
      <c r="K55" s="214">
        <f t="shared" si="15"/>
        <v>110.66793022260278</v>
      </c>
      <c r="L55" s="214">
        <f t="shared" si="15"/>
        <v>126.39952787885275</v>
      </c>
      <c r="M55" s="214">
        <f t="shared" ca="1" si="15"/>
        <v>142.95285297650906</v>
      </c>
      <c r="N55" s="214">
        <f t="shared" ca="1" si="15"/>
        <v>159.58157370160674</v>
      </c>
      <c r="O55" s="214">
        <f t="shared" ca="1" si="15"/>
        <v>176.59649681983186</v>
      </c>
      <c r="P55" s="214">
        <f t="shared" ca="1" si="15"/>
        <v>194.06557426601262</v>
      </c>
      <c r="Q55" s="214">
        <f t="shared" ca="1" si="15"/>
        <v>212.00015989834787</v>
      </c>
    </row>
    <row r="56" spans="3:17" s="25" customFormat="1" ht="11.25" thickTop="1">
      <c r="I56" s="144"/>
      <c r="J56" s="144"/>
      <c r="K56" s="144"/>
      <c r="L56" s="144"/>
      <c r="M56" s="144"/>
      <c r="N56" s="144"/>
      <c r="O56" s="144"/>
      <c r="P56" s="144"/>
      <c r="Q56" s="144"/>
    </row>
    <row r="57" spans="3:17" s="25" customFormat="1" ht="11.25">
      <c r="C57" s="217"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204" t="str">
        <f>BS_Hist_TA!D59</f>
        <v>Ordinary Equity</v>
      </c>
      <c r="I59" s="220">
        <f>IF(OR(ISBLANK(I$12),I$12&lt;=TS_Data_Full_Pers),BS_Hist_TO!I59,BS_Fcast_TO!I59)</f>
        <v>75</v>
      </c>
      <c r="J59" s="220">
        <f>IF(OR(ISBLANK(J$12),J$12&lt;=TS_Data_Full_Pers),BS_Hist_TO!J59,BS_Fcast_TO!J59)</f>
        <v>75</v>
      </c>
      <c r="K59" s="220">
        <f>IF(OR(ISBLANK(K$12),K$12&lt;=TS_Data_Full_Pers),BS_Hist_TO!K59,BS_Fcast_TO!K59)</f>
        <v>75</v>
      </c>
      <c r="L59" s="220">
        <f>IF(OR(ISBLANK(L$12),L$12&lt;=TS_Data_Full_Pers),BS_Hist_TO!L59,BS_Fcast_TO!L59)</f>
        <v>75</v>
      </c>
      <c r="M59" s="220">
        <f ca="1">IF(OR(ISBLANK(M$12),M$12&lt;=TS_Data_Full_Pers),BS_Hist_TO!M59,BS_Fcast_TO!M59)</f>
        <v>75</v>
      </c>
      <c r="N59" s="220">
        <f ca="1">IF(OR(ISBLANK(N$12),N$12&lt;=TS_Data_Full_Pers),BS_Hist_TO!N59,BS_Fcast_TO!N59)</f>
        <v>75</v>
      </c>
      <c r="O59" s="220">
        <f ca="1">IF(OR(ISBLANK(O$12),O$12&lt;=TS_Data_Full_Pers),BS_Hist_TO!O59,BS_Fcast_TO!O59)</f>
        <v>75</v>
      </c>
      <c r="P59" s="220">
        <f ca="1">IF(OR(ISBLANK(P$12),P$12&lt;=TS_Data_Full_Pers),BS_Hist_TO!P59,BS_Fcast_TO!P59)</f>
        <v>75</v>
      </c>
      <c r="Q59" s="220">
        <f ca="1">IF(OR(ISBLANK(Q$12),Q$12&lt;=TS_Data_Full_Pers),BS_Hist_TO!Q59,BS_Fcast_TO!Q59)</f>
        <v>75</v>
      </c>
    </row>
    <row r="60" spans="3:17" s="25" customFormat="1">
      <c r="D60" s="204" t="str">
        <f>BS_Hist_TA!D60</f>
        <v>Other Equity</v>
      </c>
      <c r="I60" s="220">
        <f>IF(OR(ISBLANK(I$12),I$12&lt;=TS_Data_Full_Pers),BS_Hist_TO!I60,BS_Fcast_TO!I60)</f>
        <v>5</v>
      </c>
      <c r="J60" s="220">
        <f>IF(OR(ISBLANK(J$12),J$12&lt;=TS_Data_Full_Pers),BS_Hist_TO!J60,BS_Fcast_TO!J60)</f>
        <v>5</v>
      </c>
      <c r="K60" s="220">
        <f>IF(OR(ISBLANK(K$12),K$12&lt;=TS_Data_Full_Pers),BS_Hist_TO!K60,BS_Fcast_TO!K60)</f>
        <v>5</v>
      </c>
      <c r="L60" s="220">
        <f>IF(OR(ISBLANK(L$12),L$12&lt;=TS_Data_Full_Pers),BS_Hist_TO!L60,BS_Fcast_TO!L60)</f>
        <v>5</v>
      </c>
      <c r="M60" s="220">
        <f>IF(OR(ISBLANK(M$12),M$12&lt;=TS_Data_Full_Pers),BS_Hist_TO!M60,BS_Fcast_TO!M60)</f>
        <v>5.3999999999999986</v>
      </c>
      <c r="N60" s="220">
        <f>IF(OR(ISBLANK(N$12),N$12&lt;=TS_Data_Full_Pers),BS_Hist_TO!N60,BS_Fcast_TO!N60)</f>
        <v>5.4999999999999982</v>
      </c>
      <c r="O60" s="220">
        <f>IF(OR(ISBLANK(O$12),O$12&lt;=TS_Data_Full_Pers),BS_Hist_TO!O60,BS_Fcast_TO!O60)</f>
        <v>5.5999999999999979</v>
      </c>
      <c r="P60" s="220">
        <f>IF(OR(ISBLANK(P$12),P$12&lt;=TS_Data_Full_Pers),BS_Hist_TO!P60,BS_Fcast_TO!P60)</f>
        <v>5.6999999999999975</v>
      </c>
      <c r="Q60" s="220">
        <f>IF(OR(ISBLANK(Q$12),Q$12&lt;=TS_Data_Full_Pers),BS_Hist_TO!Q60,BS_Fcast_TO!Q60)</f>
        <v>5.7999999999999972</v>
      </c>
    </row>
    <row r="61" spans="3:17" s="25" customFormat="1" hidden="1" outlineLevel="2">
      <c r="D61" s="204"/>
      <c r="E61" s="171" t="s">
        <v>245</v>
      </c>
      <c r="J61" s="220">
        <f>I66</f>
        <v>20.347773972602738</v>
      </c>
      <c r="K61" s="220">
        <f t="shared" ref="K61:Q61" si="16">J66</f>
        <v>22.847773972602738</v>
      </c>
      <c r="L61" s="220">
        <f t="shared" si="16"/>
        <v>30.667930222602777</v>
      </c>
      <c r="M61" s="220">
        <f t="shared" si="16"/>
        <v>46.399527878852751</v>
      </c>
      <c r="N61" s="220">
        <f t="shared" ca="1" si="16"/>
        <v>62.552852976509001</v>
      </c>
      <c r="O61" s="220">
        <f t="shared" ca="1" si="16"/>
        <v>79.081573701606658</v>
      </c>
      <c r="P61" s="220">
        <f t="shared" ca="1" si="16"/>
        <v>95.996496819831762</v>
      </c>
      <c r="Q61" s="220">
        <f t="shared" ca="1" si="16"/>
        <v>113.3655742660125</v>
      </c>
    </row>
    <row r="62" spans="3:17" s="25" customFormat="1" hidden="1" outlineLevel="2">
      <c r="D62" s="204"/>
      <c r="E62" s="171" t="s">
        <v>561</v>
      </c>
      <c r="J62" s="220">
        <f>BS_Hist_TO!J62</f>
        <v>2.5</v>
      </c>
      <c r="K62" s="220">
        <f>BS_Hist_TO!K62</f>
        <v>7.8201562500000392</v>
      </c>
      <c r="L62" s="220">
        <f>BS_Hist_TO!L62</f>
        <v>15.731597656249974</v>
      </c>
      <c r="M62" s="220">
        <f>BS_Hist_TO!M62</f>
        <v>0</v>
      </c>
      <c r="N62" s="220">
        <f>BS_Hist_TO!N62</f>
        <v>0</v>
      </c>
      <c r="O62" s="220">
        <f>BS_Hist_TO!O62</f>
        <v>0</v>
      </c>
      <c r="P62" s="220">
        <f>BS_Hist_TO!P62</f>
        <v>0</v>
      </c>
      <c r="Q62" s="220">
        <f>BS_Hist_TO!Q62</f>
        <v>0</v>
      </c>
    </row>
    <row r="63" spans="3:17" s="25" customFormat="1" hidden="1" outlineLevel="2">
      <c r="D63" s="204"/>
      <c r="E63" s="171" t="s">
        <v>555</v>
      </c>
      <c r="J63" s="220">
        <f>BS_Hist_TO!J63</f>
        <v>0</v>
      </c>
      <c r="K63" s="220">
        <f>BS_Hist_TO!K63</f>
        <v>0</v>
      </c>
      <c r="L63" s="220">
        <f>BS_Hist_TO!L63</f>
        <v>0</v>
      </c>
      <c r="M63" s="220">
        <f>BS_Hist_TO!M63</f>
        <v>0</v>
      </c>
      <c r="N63" s="220">
        <f>BS_Hist_TO!N63</f>
        <v>0</v>
      </c>
      <c r="O63" s="220">
        <f>BS_Hist_TO!O63</f>
        <v>0</v>
      </c>
      <c r="P63" s="220">
        <f>BS_Hist_TO!P63</f>
        <v>0</v>
      </c>
      <c r="Q63" s="220">
        <f>BS_Hist_TO!Q63</f>
        <v>0</v>
      </c>
    </row>
    <row r="64" spans="3:17" s="25" customFormat="1" hidden="1" outlineLevel="2">
      <c r="D64" s="203"/>
      <c r="E64" s="171" t="s">
        <v>562</v>
      </c>
      <c r="J64" s="220">
        <f>BS_Fcast_TO!J62</f>
        <v>0</v>
      </c>
      <c r="K64" s="220">
        <f>BS_Fcast_TO!K62</f>
        <v>0</v>
      </c>
      <c r="L64" s="220">
        <f>BS_Fcast_TO!L62</f>
        <v>0</v>
      </c>
      <c r="M64" s="220">
        <f ca="1">BS_Fcast_TO!M62</f>
        <v>32.306650195312507</v>
      </c>
      <c r="N64" s="220">
        <f ca="1">BS_Fcast_TO!N62</f>
        <v>33.057441450195327</v>
      </c>
      <c r="O64" s="220">
        <f ca="1">BS_Fcast_TO!O62</f>
        <v>33.829846236450202</v>
      </c>
      <c r="P64" s="220">
        <f ca="1">BS_Fcast_TO!P62</f>
        <v>34.73815489236145</v>
      </c>
      <c r="Q64" s="220">
        <f ca="1">BS_Fcast_TO!Q62</f>
        <v>35.669171264670474</v>
      </c>
    </row>
    <row r="65" spans="3:17" s="25" customFormat="1" hidden="1" outlineLevel="2">
      <c r="E65" s="171" t="s">
        <v>563</v>
      </c>
      <c r="I65" s="238"/>
      <c r="J65" s="177">
        <f>BS_Fcast_TO!J63</f>
        <v>0</v>
      </c>
      <c r="K65" s="177">
        <f>BS_Fcast_TO!K63</f>
        <v>0</v>
      </c>
      <c r="L65" s="177">
        <f>BS_Fcast_TO!L63</f>
        <v>0</v>
      </c>
      <c r="M65" s="177">
        <f ca="1">BS_Fcast_TO!M63</f>
        <v>-16.153325097656253</v>
      </c>
      <c r="N65" s="177">
        <f ca="1">BS_Fcast_TO!N63</f>
        <v>-16.528720725097664</v>
      </c>
      <c r="O65" s="177">
        <f ca="1">BS_Fcast_TO!O63</f>
        <v>-16.914923118225101</v>
      </c>
      <c r="P65" s="177">
        <f ca="1">BS_Fcast_TO!P63</f>
        <v>-17.369077446180725</v>
      </c>
      <c r="Q65" s="177">
        <f ca="1">BS_Fcast_TO!Q63</f>
        <v>-17.834585632335237</v>
      </c>
    </row>
    <row r="66" spans="3:17" s="25" customFormat="1" collapsed="1">
      <c r="D66" s="204" t="str">
        <f>BS_Hist_TA!D63</f>
        <v>Retained Profits</v>
      </c>
      <c r="I66" s="220">
        <f>IF(ISBLANK(I$12),BS_Hist_TO!$I$64,SUM(I61:I65))</f>
        <v>20.347773972602738</v>
      </c>
      <c r="J66" s="220">
        <f>IF(ISBLANK(J$12),BS_Hist_TO!$I$64,SUM(J61:J65))</f>
        <v>22.847773972602738</v>
      </c>
      <c r="K66" s="220">
        <f>IF(ISBLANK(K$12),BS_Hist_TO!$I$64,SUM(K61:K65))</f>
        <v>30.667930222602777</v>
      </c>
      <c r="L66" s="220">
        <f>IF(ISBLANK(L$12),BS_Hist_TO!$I$64,SUM(L61:L65))</f>
        <v>46.399527878852751</v>
      </c>
      <c r="M66" s="220">
        <f ca="1">IF(ISBLANK(M$12),BS_Hist_TO!$I$64,SUM(M61:M65))</f>
        <v>62.552852976509001</v>
      </c>
      <c r="N66" s="220">
        <f ca="1">IF(ISBLANK(N$12),BS_Hist_TO!$I$64,SUM(N61:N65))</f>
        <v>79.081573701606658</v>
      </c>
      <c r="O66" s="220">
        <f ca="1">IF(ISBLANK(O$12),BS_Hist_TO!$I$64,SUM(O61:O65))</f>
        <v>95.996496819831762</v>
      </c>
      <c r="P66" s="220">
        <f ca="1">IF(ISBLANK(P$12),BS_Hist_TO!$I$64,SUM(P61:P65))</f>
        <v>113.3655742660125</v>
      </c>
      <c r="Q66" s="220">
        <f ca="1">IF(ISBLANK(Q$12),BS_Hist_TO!$I$64,SUM(Q61:Q65))</f>
        <v>131.20015989834775</v>
      </c>
    </row>
    <row r="67" spans="3:17" s="25" customFormat="1">
      <c r="I67" s="144"/>
      <c r="J67" s="144"/>
      <c r="K67" s="144"/>
      <c r="L67" s="144"/>
      <c r="M67" s="144"/>
      <c r="N67" s="144"/>
      <c r="O67" s="144"/>
      <c r="P67" s="144"/>
      <c r="Q67" s="144"/>
    </row>
    <row r="68" spans="3:17" s="25" customFormat="1" ht="11.25">
      <c r="C68" s="217" t="str">
        <f>BS_Hist_TA!C65</f>
        <v>Total Equity</v>
      </c>
      <c r="I68" s="212">
        <f>I59+I60+I66</f>
        <v>100.34777397260274</v>
      </c>
      <c r="J68" s="212">
        <f t="shared" ref="J68:Q68" si="17">J59+J60+J66</f>
        <v>102.84777397260274</v>
      </c>
      <c r="K68" s="212">
        <f t="shared" si="17"/>
        <v>110.66793022260278</v>
      </c>
      <c r="L68" s="212">
        <f t="shared" si="17"/>
        <v>126.39952787885275</v>
      </c>
      <c r="M68" s="212">
        <f t="shared" ca="1" si="17"/>
        <v>142.95285297650901</v>
      </c>
      <c r="N68" s="212">
        <f t="shared" ca="1" si="17"/>
        <v>159.58157370160666</v>
      </c>
      <c r="O68" s="212">
        <f t="shared" ca="1" si="17"/>
        <v>176.59649681983177</v>
      </c>
      <c r="P68" s="212">
        <f t="shared" ca="1" si="17"/>
        <v>194.0655742660125</v>
      </c>
      <c r="Q68" s="212">
        <f t="shared" ca="1" si="17"/>
        <v>212.00015989834776</v>
      </c>
    </row>
    <row r="69" spans="3:17" s="16" customFormat="1">
      <c r="J69" s="176"/>
      <c r="K69" s="176"/>
      <c r="L69" s="176"/>
      <c r="M69" s="176"/>
      <c r="N69" s="176"/>
      <c r="O69" s="176"/>
      <c r="P69" s="176"/>
      <c r="Q69" s="176"/>
    </row>
    <row r="70" spans="3:17" s="16" customFormat="1" hidden="1" outlineLevel="2">
      <c r="D70" s="171" t="s">
        <v>489</v>
      </c>
      <c r="I70" s="142">
        <f>IF(ISERROR(I55-I68),1,0)</f>
        <v>0</v>
      </c>
      <c r="J70" s="142">
        <f>IF(ISERROR(J55-J68),1,0)</f>
        <v>0</v>
      </c>
      <c r="K70" s="142">
        <f t="shared" ref="K70:Q70" si="18">IF(ISERROR(K55-K68),1,0)</f>
        <v>0</v>
      </c>
      <c r="L70" s="142">
        <f t="shared" si="18"/>
        <v>0</v>
      </c>
      <c r="M70" s="142">
        <f t="shared" ca="1" si="18"/>
        <v>0</v>
      </c>
      <c r="N70" s="142">
        <f t="shared" ca="1" si="18"/>
        <v>0</v>
      </c>
      <c r="O70" s="142">
        <f t="shared" ca="1" si="18"/>
        <v>0</v>
      </c>
      <c r="P70" s="142">
        <f t="shared" ca="1" si="18"/>
        <v>0</v>
      </c>
      <c r="Q70" s="142">
        <f t="shared" ca="1" si="18"/>
        <v>0</v>
      </c>
    </row>
    <row r="71" spans="3:17" s="16" customFormat="1" hidden="1" outlineLevel="2">
      <c r="D71" s="171" t="s">
        <v>419</v>
      </c>
      <c r="I71" s="125">
        <f>IF(I70&lt;&gt;0,0,(ROUND(I55-I68,5)&lt;&gt;0)*1)</f>
        <v>0</v>
      </c>
      <c r="J71" s="125">
        <f>IF(J70&lt;&gt;0,0,(ROUND(J55-J68,5)&lt;&gt;0)*1)</f>
        <v>0</v>
      </c>
      <c r="K71" s="125">
        <f t="shared" ref="K71:Q71" si="19">IF(K70&lt;&gt;0,0,(ROUND(K55-K68,5)&lt;&gt;0)*1)</f>
        <v>0</v>
      </c>
      <c r="L71" s="125">
        <f t="shared" si="19"/>
        <v>0</v>
      </c>
      <c r="M71" s="125">
        <f t="shared" ca="1" si="19"/>
        <v>0</v>
      </c>
      <c r="N71" s="125">
        <f t="shared" ca="1" si="19"/>
        <v>0</v>
      </c>
      <c r="O71" s="125">
        <f t="shared" ca="1" si="19"/>
        <v>0</v>
      </c>
      <c r="P71" s="125">
        <f t="shared" ca="1" si="19"/>
        <v>0</v>
      </c>
      <c r="Q71" s="125">
        <f t="shared" ca="1" si="19"/>
        <v>0</v>
      </c>
    </row>
    <row r="72" spans="3:17" s="16" customFormat="1" collapsed="1">
      <c r="C72" s="171" t="s">
        <v>415</v>
      </c>
      <c r="H72" s="99">
        <f ca="1">IF(ISERROR(SUM(I72:Q72)),0,MIN(SUM(I72:Q72),1))</f>
        <v>0</v>
      </c>
      <c r="I72" s="96">
        <f t="shared" ref="I72:Q72" si="20">MIN(SUM(I70:I71),1)</f>
        <v>0</v>
      </c>
      <c r="J72" s="96">
        <f t="shared" si="20"/>
        <v>0</v>
      </c>
      <c r="K72" s="96">
        <f t="shared" si="20"/>
        <v>0</v>
      </c>
      <c r="L72" s="96">
        <f t="shared" si="20"/>
        <v>0</v>
      </c>
      <c r="M72" s="96">
        <f t="shared" ca="1" si="20"/>
        <v>0</v>
      </c>
      <c r="N72" s="96">
        <f t="shared" ca="1" si="20"/>
        <v>0</v>
      </c>
      <c r="O72" s="96">
        <f t="shared" ca="1" si="20"/>
        <v>0</v>
      </c>
      <c r="P72" s="96">
        <f t="shared" ca="1" si="20"/>
        <v>0</v>
      </c>
      <c r="Q72" s="96">
        <f t="shared" ca="1" si="20"/>
        <v>0</v>
      </c>
    </row>
    <row r="73" spans="3:17" s="16" customFormat="1" hidden="1" outlineLevel="2"/>
    <row r="74" spans="3:17" s="16" customFormat="1" collapsed="1">
      <c r="C74" s="171" t="s">
        <v>420</v>
      </c>
      <c r="H74" s="99">
        <f ca="1">IF(ISERROR(SUM(I74:Q74)),0,MIN(SUM(I74:Q74),1))</f>
        <v>0</v>
      </c>
      <c r="I74" s="96">
        <f>IF(ISERROR(I22),0,(I22&lt;0)*1)</f>
        <v>0</v>
      </c>
      <c r="J74" s="96">
        <f>IF(ISERROR(J22),0,(J22&lt;0)*1)</f>
        <v>0</v>
      </c>
      <c r="K74" s="96">
        <f t="shared" ref="K74:Q74" si="21">IF(ISERROR(K22),0,(K22&lt;0)*1)</f>
        <v>0</v>
      </c>
      <c r="L74" s="96">
        <f t="shared" si="21"/>
        <v>0</v>
      </c>
      <c r="M74" s="96">
        <f t="shared" ca="1" si="21"/>
        <v>0</v>
      </c>
      <c r="N74" s="96">
        <f t="shared" ca="1" si="21"/>
        <v>0</v>
      </c>
      <c r="O74" s="96">
        <f t="shared" ca="1" si="21"/>
        <v>0</v>
      </c>
      <c r="P74" s="96">
        <f t="shared" ca="1" si="21"/>
        <v>0</v>
      </c>
      <c r="Q74" s="96">
        <f t="shared" ca="1" si="21"/>
        <v>0</v>
      </c>
    </row>
    <row r="75" spans="3:17" s="25" customFormat="1"/>
    <row r="76" spans="3:17" s="25" customFormat="1">
      <c r="C76" s="260" t="str">
        <f>"Go to "&amp;IS_All_TO!$B$1</f>
        <v>Go to Income Statement - All Periods Outputs</v>
      </c>
      <c r="D76" s="264"/>
      <c r="E76" s="264"/>
      <c r="F76" s="264"/>
      <c r="G76" s="264"/>
      <c r="H76" s="264"/>
    </row>
    <row r="77" spans="3:17" s="25" customFormat="1">
      <c r="C77" s="260" t="str">
        <f>"Go to "&amp;CFS_All_TO!$B$1</f>
        <v>Go to Cash Flow Statement - All Periods Outputs</v>
      </c>
      <c r="D77" s="264"/>
      <c r="E77" s="264"/>
      <c r="F77" s="264"/>
      <c r="G77" s="264"/>
      <c r="H77" s="264"/>
    </row>
    <row r="78" spans="3:17" s="25" customFormat="1"/>
    <row r="79" spans="3:17" s="25" customFormat="1">
      <c r="C79" s="180" t="str">
        <f>BS_Hist_TA!C77</f>
        <v>Notes</v>
      </c>
    </row>
    <row r="80" spans="3:17" s="25" customFormat="1">
      <c r="C80" s="219">
        <f>BS_Hist_TA!C78</f>
        <v>1</v>
      </c>
      <c r="D80" s="215"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C76:H76" location="HL_Sheet_Main_17" tooltip="Go to Income Statement - All Periods Outputs" display="HL_Sheet_Main_17"/>
    <hyperlink ref="C77:H77"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61"/>
  <sheetViews>
    <sheetView showGridLines="0" zoomScaleNormal="100" workbookViewId="0">
      <pane xSplit="1" ySplit="13" topLeftCell="B14" activePane="bottomRight" state="frozen"/>
      <selection pane="topRight"/>
      <selection pane="bottomLeft"/>
      <selection pane="bottomRight"/>
    </sheetView>
  </sheetViews>
  <sheetFormatPr defaultColWidth="11.83203125" defaultRowHeight="10.5" outlineLevelRow="2"/>
  <cols>
    <col min="1" max="5" width="3.83203125" customWidth="1"/>
  </cols>
  <sheetData>
    <row r="1" spans="1:17" ht="18">
      <c r="B1" s="1" t="s">
        <v>554</v>
      </c>
    </row>
    <row r="2" spans="1:17" ht="15">
      <c r="B2" s="2" t="str">
        <f ca="1">Model_Name</f>
        <v>SMA 2. Workbook Structure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16" customFormat="1" ht="12.75">
      <c r="B16" s="120" t="s">
        <v>425</v>
      </c>
    </row>
    <row r="17" spans="3:17" s="16" customFormat="1"/>
    <row r="18" spans="3:17" s="16" customFormat="1" ht="11.25">
      <c r="C18" s="94" t="s">
        <v>15</v>
      </c>
    </row>
    <row r="19" spans="3:17" s="16" customFormat="1"/>
    <row r="20" spans="3:17" s="16" customFormat="1" hidden="1" outlineLevel="2">
      <c r="E20" s="5" t="str">
        <f>Fcast_OP_TO!C18</f>
        <v>Revenue</v>
      </c>
      <c r="J20" s="95">
        <f>CFS_Hist_TO!J20+CFS_Fcast_TO!J20</f>
        <v>125</v>
      </c>
      <c r="K20" s="95">
        <f>CFS_Hist_TO!K20+CFS_Fcast_TO!K20</f>
        <v>128.125</v>
      </c>
      <c r="L20" s="95">
        <f>CFS_Hist_TO!L20+CFS_Fcast_TO!L20</f>
        <v>131.328125</v>
      </c>
      <c r="M20" s="95">
        <f>CFS_Hist_TO!M20+CFS_Fcast_TO!M20</f>
        <v>134.611328125</v>
      </c>
      <c r="N20" s="95">
        <f>CFS_Hist_TO!N20+CFS_Fcast_TO!N20</f>
        <v>137.97661132812499</v>
      </c>
      <c r="O20" s="95">
        <f>CFS_Hist_TO!O20+CFS_Fcast_TO!O20</f>
        <v>141.4260266113281</v>
      </c>
      <c r="P20" s="95">
        <f>CFS_Hist_TO!P20+CFS_Fcast_TO!P20</f>
        <v>144.96167727661128</v>
      </c>
      <c r="Q20" s="95">
        <f>CFS_Hist_TO!Q20+CFS_Fcast_TO!Q20</f>
        <v>148.58571920852654</v>
      </c>
    </row>
    <row r="21" spans="3:17" s="16" customFormat="1" hidden="1" outlineLevel="2">
      <c r="E21" s="171" t="s">
        <v>421</v>
      </c>
      <c r="J21" s="123">
        <f>CFS_Hist_TO!J21+CFS_Fcast_TO!J21</f>
        <v>10.726027397260282</v>
      </c>
      <c r="K21" s="123">
        <f>CFS_Hist_TO!K21+CFS_Fcast_TO!K21</f>
        <v>-0.25684931506850717</v>
      </c>
      <c r="L21" s="123">
        <f>CFS_Hist_TO!L21+CFS_Fcast_TO!L21</f>
        <v>-0.23377849202785228</v>
      </c>
      <c r="M21" s="123">
        <f ca="1">CFS_Hist_TO!M21+CFS_Fcast_TO!M21</f>
        <v>-0.29934436756118998</v>
      </c>
      <c r="N21" s="123">
        <f>CFS_Hist_TO!N21+CFS_Fcast_TO!N21</f>
        <v>-0.27659861943493524</v>
      </c>
      <c r="O21" s="123">
        <f>CFS_Hist_TO!O21+CFS_Fcast_TO!O21</f>
        <v>-0.28351358492079726</v>
      </c>
      <c r="P21" s="123">
        <f>CFS_Hist_TO!P21+CFS_Fcast_TO!P21</f>
        <v>-0.25804771305121221</v>
      </c>
      <c r="Q21" s="123">
        <f>CFS_Hist_TO!Q21+CFS_Fcast_TO!Q21</f>
        <v>-0.3304201716500188</v>
      </c>
    </row>
    <row r="22" spans="3:17" s="16" customFormat="1" collapsed="1">
      <c r="D22" s="171" t="s">
        <v>238</v>
      </c>
      <c r="J22" s="95">
        <f>J20+J21</f>
        <v>135.72602739726028</v>
      </c>
      <c r="K22" s="95">
        <f t="shared" ref="K22:Q22" si="8">K20+K21</f>
        <v>127.86815068493149</v>
      </c>
      <c r="L22" s="95">
        <f t="shared" si="8"/>
        <v>131.09434650797215</v>
      </c>
      <c r="M22" s="95">
        <f t="shared" ca="1" si="8"/>
        <v>134.31198375743881</v>
      </c>
      <c r="N22" s="95">
        <f t="shared" si="8"/>
        <v>137.70001270869005</v>
      </c>
      <c r="O22" s="95">
        <f t="shared" si="8"/>
        <v>141.1425130264073</v>
      </c>
      <c r="P22" s="95">
        <f t="shared" si="8"/>
        <v>144.70362956356007</v>
      </c>
      <c r="Q22" s="95">
        <f t="shared" si="8"/>
        <v>148.25529903687652</v>
      </c>
    </row>
    <row r="23" spans="3:17" s="16" customFormat="1" hidden="1" outlineLevel="2">
      <c r="D23" s="5"/>
      <c r="E23" s="5" t="str">
        <f>Fcast_OP_TO!C19</f>
        <v>Cost of Goods Sold</v>
      </c>
      <c r="J23" s="95">
        <f>CFS_Hist_TO!J23+CFS_Fcast_TO!J23</f>
        <v>-25</v>
      </c>
      <c r="K23" s="95">
        <f>CFS_Hist_TO!K23+CFS_Fcast_TO!K23</f>
        <v>-25.624999999999996</v>
      </c>
      <c r="L23" s="95">
        <f>CFS_Hist_TO!L23+CFS_Fcast_TO!L23</f>
        <v>-26.265624999999993</v>
      </c>
      <c r="M23" s="95">
        <f>CFS_Hist_TO!M23+CFS_Fcast_TO!M23</f>
        <v>-26.922265624999991</v>
      </c>
      <c r="N23" s="95">
        <f>CFS_Hist_TO!N23+CFS_Fcast_TO!N23</f>
        <v>-27.59532226562499</v>
      </c>
      <c r="O23" s="95">
        <f>CFS_Hist_TO!O23+CFS_Fcast_TO!O23</f>
        <v>-28.285205322265611</v>
      </c>
      <c r="P23" s="95">
        <f>CFS_Hist_TO!P23+CFS_Fcast_TO!P23</f>
        <v>-28.992335455322248</v>
      </c>
      <c r="Q23" s="95">
        <f>CFS_Hist_TO!Q23+CFS_Fcast_TO!Q23</f>
        <v>-29.717143841705301</v>
      </c>
    </row>
    <row r="24" spans="3:17" s="16" customFormat="1" hidden="1" outlineLevel="2">
      <c r="D24" s="5"/>
      <c r="E24" s="5" t="str">
        <f>Fcast_OP_TO!C20</f>
        <v>Operating Expenditure</v>
      </c>
      <c r="J24" s="95">
        <f>CFS_Hist_TO!J24+CFS_Fcast_TO!J24</f>
        <v>-40</v>
      </c>
      <c r="K24" s="95">
        <f>CFS_Hist_TO!K24+CFS_Fcast_TO!K24</f>
        <v>-41</v>
      </c>
      <c r="L24" s="95">
        <f>CFS_Hist_TO!L24+CFS_Fcast_TO!L24</f>
        <v>-42.024999999999999</v>
      </c>
      <c r="M24" s="95">
        <f>CFS_Hist_TO!M24+CFS_Fcast_TO!M24</f>
        <v>-43.075624999999995</v>
      </c>
      <c r="N24" s="95">
        <f>CFS_Hist_TO!N24+CFS_Fcast_TO!N24</f>
        <v>-44.152515624999992</v>
      </c>
      <c r="O24" s="95">
        <f>CFS_Hist_TO!O24+CFS_Fcast_TO!O24</f>
        <v>-45.256328515624986</v>
      </c>
      <c r="P24" s="95">
        <f>CFS_Hist_TO!P24+CFS_Fcast_TO!P24</f>
        <v>-46.387736728515605</v>
      </c>
      <c r="Q24" s="95">
        <f>CFS_Hist_TO!Q24+CFS_Fcast_TO!Q24</f>
        <v>-47.547430146728495</v>
      </c>
    </row>
    <row r="25" spans="3:17" s="16" customFormat="1" hidden="1" outlineLevel="2">
      <c r="D25" s="5"/>
      <c r="E25" s="171" t="s">
        <v>422</v>
      </c>
      <c r="J25" s="123">
        <f>CFS_Hist_TO!J25+CFS_Fcast_TO!J25</f>
        <v>-7.9863013698630141</v>
      </c>
      <c r="K25" s="123">
        <f>CFS_Hist_TO!K25+CFS_Fcast_TO!K25</f>
        <v>0.20034246575342252</v>
      </c>
      <c r="L25" s="123">
        <f>CFS_Hist_TO!L25+CFS_Fcast_TO!L25</f>
        <v>0.18234722378171853</v>
      </c>
      <c r="M25" s="123">
        <f ca="1">CFS_Hist_TO!M25+CFS_Fcast_TO!M25</f>
        <v>0.2334886066977333</v>
      </c>
      <c r="N25" s="123">
        <f>CFS_Hist_TO!N25+CFS_Fcast_TO!N25</f>
        <v>0.21574692315924437</v>
      </c>
      <c r="O25" s="123">
        <f>CFS_Hist_TO!O25+CFS_Fcast_TO!O25</f>
        <v>0.22114059623822868</v>
      </c>
      <c r="P25" s="123">
        <f>CFS_Hist_TO!P25+CFS_Fcast_TO!P25</f>
        <v>0.20127721617994609</v>
      </c>
      <c r="Q25" s="123">
        <f>CFS_Hist_TO!Q25+CFS_Fcast_TO!Q25</f>
        <v>0.25772773388702319</v>
      </c>
    </row>
    <row r="26" spans="3:17" s="16" customFormat="1" collapsed="1">
      <c r="D26" s="171" t="s">
        <v>243</v>
      </c>
      <c r="J26" s="95">
        <f>SUM(J23:J25)</f>
        <v>-72.986301369863014</v>
      </c>
      <c r="K26" s="95">
        <f t="shared" ref="K26:Q26" si="9">SUM(K23:K25)</f>
        <v>-66.424657534246577</v>
      </c>
      <c r="L26" s="95">
        <f t="shared" si="9"/>
        <v>-68.108277776218273</v>
      </c>
      <c r="M26" s="95">
        <f t="shared" ca="1" si="9"/>
        <v>-69.764402018302249</v>
      </c>
      <c r="N26" s="95">
        <f t="shared" si="9"/>
        <v>-71.532090967465734</v>
      </c>
      <c r="O26" s="95">
        <f t="shared" si="9"/>
        <v>-73.320393241652368</v>
      </c>
      <c r="P26" s="95">
        <f t="shared" si="9"/>
        <v>-75.178794967657907</v>
      </c>
      <c r="Q26" s="95">
        <f t="shared" si="9"/>
        <v>-77.006846254546772</v>
      </c>
    </row>
    <row r="27" spans="3:17" s="16" customFormat="1">
      <c r="D27" s="5" t="str">
        <f>Fcast_OP_TO!E114</f>
        <v>Interest Paid</v>
      </c>
      <c r="J27" s="95">
        <f>CFS_Hist_TO!J27+CFS_Fcast_TO!J27</f>
        <v>-3.25</v>
      </c>
      <c r="K27" s="95">
        <f>CFS_Hist_TO!K27+CFS_Fcast_TO!K27</f>
        <v>-3.25</v>
      </c>
      <c r="L27" s="95">
        <f>CFS_Hist_TO!L27+CFS_Fcast_TO!L27</f>
        <v>-3.25</v>
      </c>
      <c r="M27" s="95">
        <f ca="1">CFS_Hist_TO!M27+CFS_Fcast_TO!M27</f>
        <v>-3.25</v>
      </c>
      <c r="N27" s="95">
        <f ca="1">CFS_Hist_TO!N27+CFS_Fcast_TO!N27</f>
        <v>-3.4125000000000001</v>
      </c>
      <c r="O27" s="95">
        <f ca="1">CFS_Hist_TO!O27+CFS_Fcast_TO!O27</f>
        <v>-3.5750000000000002</v>
      </c>
      <c r="P27" s="95">
        <f ca="1">CFS_Hist_TO!P27+CFS_Fcast_TO!P27</f>
        <v>-3.5750000000000002</v>
      </c>
      <c r="Q27" s="95">
        <f ca="1">CFS_Hist_TO!Q27+CFS_Fcast_TO!Q27</f>
        <v>-3.5750000000000002</v>
      </c>
    </row>
    <row r="28" spans="3:17" s="16" customFormat="1">
      <c r="D28" s="5" t="str">
        <f>Fcast_OP_TO!D180</f>
        <v>Tax Paid</v>
      </c>
      <c r="J28" s="95">
        <f>CFS_Hist_TO!J28+CFS_Fcast_TO!J28</f>
        <v>-3.5</v>
      </c>
      <c r="K28" s="95">
        <f>CFS_Hist_TO!K28+CFS_Fcast_TO!K28</f>
        <v>-12.7875</v>
      </c>
      <c r="L28" s="95">
        <f>CFS_Hist_TO!L28+CFS_Fcast_TO!L28</f>
        <v>-13.131562499999999</v>
      </c>
      <c r="M28" s="95">
        <f ca="1">CFS_Hist_TO!M28+CFS_Fcast_TO!M28</f>
        <v>-13.484226562500004</v>
      </c>
      <c r="N28" s="95">
        <f ca="1">CFS_Hist_TO!N28+CFS_Fcast_TO!N28</f>
        <v>-13.845707226562503</v>
      </c>
      <c r="O28" s="95">
        <f ca="1">CFS_Hist_TO!O28+CFS_Fcast_TO!O28</f>
        <v>-14.167474907226566</v>
      </c>
      <c r="P28" s="95">
        <f ca="1">CFS_Hist_TO!P28+CFS_Fcast_TO!P28</f>
        <v>-14.498505529907227</v>
      </c>
      <c r="Q28" s="95">
        <f ca="1">CFS_Hist_TO!Q28+CFS_Fcast_TO!Q28</f>
        <v>-14.887780668154907</v>
      </c>
    </row>
    <row r="29" spans="3:17" s="16" customFormat="1">
      <c r="D29" s="171" t="s">
        <v>493</v>
      </c>
      <c r="J29" s="95">
        <f>CFS_Hist_TO!J29+CFS_Fcast_TO!J29</f>
        <v>-1</v>
      </c>
      <c r="K29" s="95">
        <f>CFS_Hist_TO!K29+CFS_Fcast_TO!K29</f>
        <v>-1</v>
      </c>
      <c r="L29" s="95">
        <f>CFS_Hist_TO!L29+CFS_Fcast_TO!L29</f>
        <v>-1</v>
      </c>
      <c r="M29" s="95">
        <f ca="1">CFS_Hist_TO!M29+CFS_Fcast_TO!M29</f>
        <v>-1</v>
      </c>
      <c r="N29" s="95">
        <f>CFS_Hist_TO!N29+CFS_Fcast_TO!N29</f>
        <v>-1</v>
      </c>
      <c r="O29" s="95">
        <f>CFS_Hist_TO!O29+CFS_Fcast_TO!O29</f>
        <v>-1</v>
      </c>
      <c r="P29" s="95">
        <f>CFS_Hist_TO!P29+CFS_Fcast_TO!P29</f>
        <v>-1</v>
      </c>
      <c r="Q29" s="95">
        <f>CFS_Hist_TO!Q29+CFS_Fcast_TO!Q29</f>
        <v>-1</v>
      </c>
    </row>
    <row r="30" spans="3:17" s="16" customFormat="1">
      <c r="D30" s="171" t="s">
        <v>494</v>
      </c>
      <c r="J30" s="95">
        <f>CFS_Hist_TO!J30+CFS_Fcast_TO!J30</f>
        <v>1</v>
      </c>
      <c r="K30" s="95">
        <f>CFS_Hist_TO!K30+CFS_Fcast_TO!K30</f>
        <v>1</v>
      </c>
      <c r="L30" s="95">
        <f>CFS_Hist_TO!L30+CFS_Fcast_TO!L30</f>
        <v>1</v>
      </c>
      <c r="M30" s="95">
        <f ca="1">CFS_Hist_TO!M30+CFS_Fcast_TO!M30</f>
        <v>1</v>
      </c>
      <c r="N30" s="95">
        <f>CFS_Hist_TO!N30+CFS_Fcast_TO!N30</f>
        <v>1</v>
      </c>
      <c r="O30" s="95">
        <f>CFS_Hist_TO!O30+CFS_Fcast_TO!O30</f>
        <v>1</v>
      </c>
      <c r="P30" s="95">
        <f>CFS_Hist_TO!P30+CFS_Fcast_TO!P30</f>
        <v>1</v>
      </c>
      <c r="Q30" s="95">
        <f>CFS_Hist_TO!Q30+CFS_Fcast_TO!Q30</f>
        <v>1</v>
      </c>
    </row>
    <row r="31" spans="3:17" s="16" customFormat="1">
      <c r="D31" s="137" t="str">
        <f>"Net "&amp;C18</f>
        <v>Net Cash Flow from Operating Activities</v>
      </c>
      <c r="J31" s="141">
        <f>J22+J26+SUM(J27:J30)</f>
        <v>55.989726027397268</v>
      </c>
      <c r="K31" s="141">
        <f t="shared" ref="K31:Q31" si="10">K22+K26+SUM(K27:K30)</f>
        <v>45.405993150684914</v>
      </c>
      <c r="L31" s="141">
        <f t="shared" si="10"/>
        <v>46.604506231753874</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s="16" customFormat="1">
      <c r="J32" s="95"/>
      <c r="K32" s="95"/>
      <c r="L32" s="95"/>
      <c r="M32" s="95"/>
      <c r="N32" s="95"/>
      <c r="O32" s="95"/>
      <c r="P32" s="95"/>
      <c r="Q32" s="95"/>
    </row>
    <row r="33" spans="3:17" s="16" customFormat="1" ht="11.25">
      <c r="C33" s="94" t="s">
        <v>16</v>
      </c>
      <c r="J33" s="95"/>
      <c r="K33" s="95"/>
      <c r="L33" s="95"/>
      <c r="M33" s="95"/>
      <c r="N33" s="95"/>
      <c r="O33" s="95"/>
      <c r="P33" s="95"/>
      <c r="Q33" s="95"/>
    </row>
    <row r="34" spans="3:17" s="16" customFormat="1">
      <c r="J34" s="95"/>
      <c r="K34" s="95"/>
      <c r="L34" s="95"/>
      <c r="M34" s="95"/>
      <c r="N34" s="95"/>
      <c r="O34" s="95"/>
      <c r="P34" s="95"/>
      <c r="Q34" s="95"/>
    </row>
    <row r="35" spans="3:17" s="16" customFormat="1">
      <c r="D35" s="5" t="str">
        <f>Fcast_OP_TO!C21</f>
        <v>Capital Expenditure - Assets</v>
      </c>
      <c r="J35" s="95">
        <f>CFS_Hist_TO!J35+CFS_Fcast_TO!J35</f>
        <v>-15</v>
      </c>
      <c r="K35" s="95">
        <f>CFS_Hist_TO!K35+CFS_Fcast_TO!K35</f>
        <v>-15.374999999999998</v>
      </c>
      <c r="L35" s="95">
        <f>CFS_Hist_TO!L35+CFS_Fcast_TO!L35</f>
        <v>-15.759374999999997</v>
      </c>
      <c r="M35" s="95">
        <f>CFS_Hist_TO!M35+CFS_Fcast_TO!M35</f>
        <v>-16.153359374999994</v>
      </c>
      <c r="N35" s="95">
        <f>CFS_Hist_TO!N35+CFS_Fcast_TO!N35</f>
        <v>-16.557193359374992</v>
      </c>
      <c r="O35" s="95">
        <f>CFS_Hist_TO!O35+CFS_Fcast_TO!O35</f>
        <v>-16.971123193359364</v>
      </c>
      <c r="P35" s="95">
        <f>CFS_Hist_TO!P35+CFS_Fcast_TO!P35</f>
        <v>-17.395401273193347</v>
      </c>
      <c r="Q35" s="95">
        <f>CFS_Hist_TO!Q35+CFS_Fcast_TO!Q35</f>
        <v>-17.830286305023179</v>
      </c>
    </row>
    <row r="36" spans="3:17" s="16" customFormat="1">
      <c r="D36" s="5" t="str">
        <f>Fcast_OP_TO!C22</f>
        <v>Capital Expenditure - Intangibles</v>
      </c>
      <c r="J36" s="95">
        <f>CFS_Hist_TO!J36+CFS_Fcast_TO!J36</f>
        <v>-2.5</v>
      </c>
      <c r="K36" s="95">
        <f>CFS_Hist_TO!K36+CFS_Fcast_TO!K36</f>
        <v>-2.5625</v>
      </c>
      <c r="L36" s="95">
        <f>CFS_Hist_TO!L36+CFS_Fcast_TO!L36</f>
        <v>-2.6265624999999999</v>
      </c>
      <c r="M36" s="95">
        <f>CFS_Hist_TO!M36+CFS_Fcast_TO!M36</f>
        <v>-2.6922265624999997</v>
      </c>
      <c r="N36" s="95">
        <f>CFS_Hist_TO!N36+CFS_Fcast_TO!N36</f>
        <v>-2.7595322265624995</v>
      </c>
      <c r="O36" s="95">
        <f>CFS_Hist_TO!O36+CFS_Fcast_TO!O36</f>
        <v>-2.8285205322265616</v>
      </c>
      <c r="P36" s="95">
        <f>CFS_Hist_TO!P36+CFS_Fcast_TO!P36</f>
        <v>-2.8992335455322253</v>
      </c>
      <c r="Q36" s="95">
        <f>CFS_Hist_TO!Q36+CFS_Fcast_TO!Q36</f>
        <v>-2.9717143841705309</v>
      </c>
    </row>
    <row r="37" spans="3:17" s="16" customFormat="1">
      <c r="D37" s="171" t="s">
        <v>495</v>
      </c>
      <c r="J37" s="95">
        <f>CFS_Hist_TO!J37+CFS_Fcast_TO!J37</f>
        <v>-1</v>
      </c>
      <c r="K37" s="95">
        <f>CFS_Hist_TO!K37+CFS_Fcast_TO!K37</f>
        <v>-1</v>
      </c>
      <c r="L37" s="95">
        <f>CFS_Hist_TO!L37+CFS_Fcast_TO!L37</f>
        <v>-1</v>
      </c>
      <c r="M37" s="95">
        <f ca="1">CFS_Hist_TO!M37+CFS_Fcast_TO!M37</f>
        <v>-1</v>
      </c>
      <c r="N37" s="95">
        <f>CFS_Hist_TO!N37+CFS_Fcast_TO!N37</f>
        <v>-1</v>
      </c>
      <c r="O37" s="95">
        <f>CFS_Hist_TO!O37+CFS_Fcast_TO!O37</f>
        <v>-1</v>
      </c>
      <c r="P37" s="95">
        <f>CFS_Hist_TO!P37+CFS_Fcast_TO!P37</f>
        <v>-1</v>
      </c>
      <c r="Q37" s="95">
        <f>CFS_Hist_TO!Q37+CFS_Fcast_TO!Q37</f>
        <v>-1</v>
      </c>
    </row>
    <row r="38" spans="3:17" s="16" customFormat="1">
      <c r="D38" s="171" t="s">
        <v>496</v>
      </c>
      <c r="J38" s="95">
        <f>CFS_Hist_TO!J38+CFS_Fcast_TO!J38</f>
        <v>1</v>
      </c>
      <c r="K38" s="95">
        <f>CFS_Hist_TO!K38+CFS_Fcast_TO!K38</f>
        <v>1</v>
      </c>
      <c r="L38" s="95">
        <f>CFS_Hist_TO!L38+CFS_Fcast_TO!L38</f>
        <v>1</v>
      </c>
      <c r="M38" s="95">
        <f ca="1">CFS_Hist_TO!M38+CFS_Fcast_TO!M38</f>
        <v>1</v>
      </c>
      <c r="N38" s="95">
        <f>CFS_Hist_TO!N38+CFS_Fcast_TO!N38</f>
        <v>1</v>
      </c>
      <c r="O38" s="95">
        <f>CFS_Hist_TO!O38+CFS_Fcast_TO!O38</f>
        <v>1</v>
      </c>
      <c r="P38" s="95">
        <f>CFS_Hist_TO!P38+CFS_Fcast_TO!P38</f>
        <v>1</v>
      </c>
      <c r="Q38" s="95">
        <f>CFS_Hist_TO!Q38+CFS_Fcast_TO!Q38</f>
        <v>1</v>
      </c>
    </row>
    <row r="39" spans="3:17" s="16" customFormat="1">
      <c r="D39" s="137" t="str">
        <f>"Net "&amp;C33</f>
        <v>Net Cash Flow from Investing Activities</v>
      </c>
      <c r="J39" s="141">
        <f>SUM(J35:J38)</f>
        <v>-17.5</v>
      </c>
      <c r="K39" s="141">
        <f t="shared" ref="K39:Q39" si="11">SUM(K35:K38)</f>
        <v>-17.9375</v>
      </c>
      <c r="L39" s="141">
        <f t="shared" si="11"/>
        <v>-18.385937499999997</v>
      </c>
      <c r="M39" s="141">
        <f t="shared" ca="1" si="11"/>
        <v>-18.845585937499994</v>
      </c>
      <c r="N39" s="141">
        <f t="shared" si="11"/>
        <v>-19.31672558593749</v>
      </c>
      <c r="O39" s="141">
        <f t="shared" si="11"/>
        <v>-19.799643725585927</v>
      </c>
      <c r="P39" s="141">
        <f t="shared" si="11"/>
        <v>-20.294634818725573</v>
      </c>
      <c r="Q39" s="141">
        <f t="shared" si="11"/>
        <v>-20.802000689193711</v>
      </c>
    </row>
    <row r="40" spans="3:17" s="16" customFormat="1">
      <c r="J40" s="95"/>
      <c r="K40" s="95"/>
      <c r="L40" s="95"/>
      <c r="M40" s="95"/>
      <c r="N40" s="95"/>
      <c r="O40" s="95"/>
      <c r="P40" s="95"/>
      <c r="Q40" s="95"/>
    </row>
    <row r="41" spans="3:17" s="16" customFormat="1" ht="11.25">
      <c r="C41" s="94" t="s">
        <v>17</v>
      </c>
      <c r="J41" s="95"/>
      <c r="K41" s="95"/>
      <c r="L41" s="95"/>
      <c r="M41" s="95"/>
      <c r="N41" s="95"/>
      <c r="O41" s="95"/>
      <c r="P41" s="95"/>
      <c r="Q41" s="95"/>
    </row>
    <row r="42" spans="3:17" s="16" customFormat="1">
      <c r="J42" s="95"/>
      <c r="K42" s="95"/>
      <c r="L42" s="95"/>
      <c r="M42" s="95"/>
      <c r="N42" s="95"/>
      <c r="O42" s="95"/>
      <c r="P42" s="95"/>
      <c r="Q42" s="95"/>
    </row>
    <row r="43" spans="3:17" s="16" customFormat="1">
      <c r="D43" s="5" t="str">
        <f>Fcast_OP_TO!E96</f>
        <v>Debt Drawdowns</v>
      </c>
      <c r="J43" s="95">
        <f>CFS_Hist_TO!J43+CFS_Fcast_TO!J43</f>
        <v>0</v>
      </c>
      <c r="K43" s="95">
        <f>CFS_Hist_TO!K43+CFS_Fcast_TO!K43</f>
        <v>0</v>
      </c>
      <c r="L43" s="95">
        <f>CFS_Hist_TO!L43+CFS_Fcast_TO!L43</f>
        <v>0</v>
      </c>
      <c r="M43" s="95">
        <f>CFS_Hist_TO!M43+CFS_Fcast_TO!M43</f>
        <v>0</v>
      </c>
      <c r="N43" s="95">
        <f>CFS_Hist_TO!N43+CFS_Fcast_TO!N43</f>
        <v>50</v>
      </c>
      <c r="O43" s="95">
        <f>CFS_Hist_TO!O43+CFS_Fcast_TO!O43</f>
        <v>0</v>
      </c>
      <c r="P43" s="95">
        <f>CFS_Hist_TO!P43+CFS_Fcast_TO!P43</f>
        <v>0</v>
      </c>
      <c r="Q43" s="95">
        <f>CFS_Hist_TO!Q43+CFS_Fcast_TO!Q43</f>
        <v>0</v>
      </c>
    </row>
    <row r="44" spans="3:17" s="16" customFormat="1">
      <c r="D44" s="5" t="str">
        <f>Fcast_OP_TO!E97</f>
        <v>Debt Repayments</v>
      </c>
      <c r="J44" s="95">
        <f>CFS_Hist_TO!J44+CFS_Fcast_TO!J44</f>
        <v>0</v>
      </c>
      <c r="K44" s="95">
        <f>CFS_Hist_TO!K44+CFS_Fcast_TO!K44</f>
        <v>0</v>
      </c>
      <c r="L44" s="95">
        <f>CFS_Hist_TO!L44+CFS_Fcast_TO!L44</f>
        <v>0</v>
      </c>
      <c r="M44" s="95">
        <f>CFS_Hist_TO!M44+CFS_Fcast_TO!M44</f>
        <v>0</v>
      </c>
      <c r="N44" s="95">
        <f>CFS_Hist_TO!N44+CFS_Fcast_TO!N44</f>
        <v>-45</v>
      </c>
      <c r="O44" s="95">
        <f>CFS_Hist_TO!O44+CFS_Fcast_TO!O44</f>
        <v>0</v>
      </c>
      <c r="P44" s="95">
        <f>CFS_Hist_TO!P44+CFS_Fcast_TO!P44</f>
        <v>0</v>
      </c>
      <c r="Q44" s="95">
        <f>CFS_Hist_TO!Q44+CFS_Fcast_TO!Q44</f>
        <v>0</v>
      </c>
    </row>
    <row r="45" spans="3:17" s="16" customFormat="1">
      <c r="D45" s="5" t="str">
        <f>Fcast_OP_TO!E122</f>
        <v>Equity Raisings</v>
      </c>
      <c r="J45" s="95">
        <f>CFS_Hist_TO!J45+CFS_Fcast_TO!J45</f>
        <v>0</v>
      </c>
      <c r="K45" s="95">
        <f>CFS_Hist_TO!K45+CFS_Fcast_TO!K45</f>
        <v>0</v>
      </c>
      <c r="L45" s="95">
        <f>CFS_Hist_TO!L45+CFS_Fcast_TO!L45</f>
        <v>0</v>
      </c>
      <c r="M45" s="95">
        <f>CFS_Hist_TO!M45+CFS_Fcast_TO!M45</f>
        <v>0</v>
      </c>
      <c r="N45" s="95">
        <f>CFS_Hist_TO!N45+CFS_Fcast_TO!N45</f>
        <v>0</v>
      </c>
      <c r="O45" s="95">
        <f>CFS_Hist_TO!O45+CFS_Fcast_TO!O45</f>
        <v>0</v>
      </c>
      <c r="P45" s="95">
        <f>CFS_Hist_TO!P45+CFS_Fcast_TO!P45</f>
        <v>0</v>
      </c>
      <c r="Q45" s="95">
        <f>CFS_Hist_TO!Q45+CFS_Fcast_TO!Q45</f>
        <v>0</v>
      </c>
    </row>
    <row r="46" spans="3:17" s="16" customFormat="1">
      <c r="D46" s="5" t="str">
        <f>Fcast_OP_TO!E123</f>
        <v>Equity Repayments</v>
      </c>
      <c r="J46" s="95">
        <f>CFS_Hist_TO!J46+CFS_Fcast_TO!J46</f>
        <v>0</v>
      </c>
      <c r="K46" s="95">
        <f>CFS_Hist_TO!K46+CFS_Fcast_TO!K46</f>
        <v>0</v>
      </c>
      <c r="L46" s="95">
        <f>CFS_Hist_TO!L46+CFS_Fcast_TO!L46</f>
        <v>0</v>
      </c>
      <c r="M46" s="95">
        <f>CFS_Hist_TO!M46+CFS_Fcast_TO!M46</f>
        <v>0</v>
      </c>
      <c r="N46" s="95">
        <f>CFS_Hist_TO!N46+CFS_Fcast_TO!N46</f>
        <v>0</v>
      </c>
      <c r="O46" s="95">
        <f>CFS_Hist_TO!O46+CFS_Fcast_TO!O46</f>
        <v>0</v>
      </c>
      <c r="P46" s="95">
        <f>CFS_Hist_TO!P46+CFS_Fcast_TO!P46</f>
        <v>0</v>
      </c>
      <c r="Q46" s="95">
        <f>CFS_Hist_TO!Q46+CFS_Fcast_TO!Q46</f>
        <v>0</v>
      </c>
    </row>
    <row r="47" spans="3:17" s="16" customFormat="1">
      <c r="D47" s="5" t="str">
        <f>Fcast_OP_TO!E130</f>
        <v>Dividends Paid During Period</v>
      </c>
      <c r="J47" s="95">
        <f>CFS_Hist_TO!J47+CFS_Fcast_TO!J47</f>
        <v>-14.918749999999999</v>
      </c>
      <c r="K47" s="95">
        <f>CFS_Hist_TO!K47+CFS_Fcast_TO!K47</f>
        <v>-15.32015625</v>
      </c>
      <c r="L47" s="95">
        <f>CFS_Hist_TO!L47+CFS_Fcast_TO!L47</f>
        <v>-15.731597656250003</v>
      </c>
      <c r="M47" s="95">
        <f ca="1">CFS_Hist_TO!M47+CFS_Fcast_TO!M47</f>
        <v>-16.153325097656253</v>
      </c>
      <c r="N47" s="95">
        <f ca="1">CFS_Hist_TO!N47+CFS_Fcast_TO!N47</f>
        <v>-16.528720725097664</v>
      </c>
      <c r="O47" s="95">
        <f ca="1">CFS_Hist_TO!O47+CFS_Fcast_TO!O47</f>
        <v>-16.914923118225101</v>
      </c>
      <c r="P47" s="95">
        <f ca="1">CFS_Hist_TO!P47+CFS_Fcast_TO!P47</f>
        <v>-17.369077446180725</v>
      </c>
      <c r="Q47" s="95">
        <f ca="1">CFS_Hist_TO!Q47+CFS_Fcast_TO!Q47</f>
        <v>-17.834585632335237</v>
      </c>
    </row>
    <row r="48" spans="3:17" s="16" customFormat="1">
      <c r="D48" s="171" t="s">
        <v>559</v>
      </c>
      <c r="J48" s="95">
        <f>CFS_Hist_TO!J48+CFS_Fcast_TO!J48</f>
        <v>0.1</v>
      </c>
      <c r="K48" s="95">
        <f>CFS_Hist_TO!K48+CFS_Fcast_TO!K48</f>
        <v>0.1</v>
      </c>
      <c r="L48" s="95">
        <f>CFS_Hist_TO!L48+CFS_Fcast_TO!L48</f>
        <v>0.1</v>
      </c>
      <c r="M48" s="95">
        <f ca="1">CFS_Hist_TO!M48+CFS_Fcast_TO!M48</f>
        <v>0.39999999999999858</v>
      </c>
      <c r="N48" s="95">
        <f>CFS_Hist_TO!N48+CFS_Fcast_TO!N48</f>
        <v>9.9999999999999645E-2</v>
      </c>
      <c r="O48" s="95">
        <f>CFS_Hist_TO!O48+CFS_Fcast_TO!O48</f>
        <v>9.9999999999999645E-2</v>
      </c>
      <c r="P48" s="95">
        <f>CFS_Hist_TO!P48+CFS_Fcast_TO!P48</f>
        <v>9.9999999999999645E-2</v>
      </c>
      <c r="Q48" s="95">
        <f>CFS_Hist_TO!Q48+CFS_Fcast_TO!Q48</f>
        <v>9.9999999999999645E-2</v>
      </c>
    </row>
    <row r="49" spans="3:17" s="16" customFormat="1">
      <c r="D49" s="137" t="str">
        <f>"Net "&amp;C41</f>
        <v>Net Cash Flow from Financing Activities</v>
      </c>
      <c r="J49" s="141">
        <f>SUM(J43:J48)</f>
        <v>-14.81875</v>
      </c>
      <c r="K49" s="141">
        <f t="shared" ref="K49:Q49" si="12">SUM(K43:K48)</f>
        <v>-15.22015625</v>
      </c>
      <c r="L49" s="141">
        <f t="shared" si="12"/>
        <v>-15.631597656250003</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3:17" s="16" customFormat="1">
      <c r="J50" s="95"/>
      <c r="K50" s="95"/>
      <c r="L50" s="95"/>
      <c r="M50" s="95"/>
      <c r="N50" s="95"/>
      <c r="O50" s="95"/>
      <c r="P50" s="95"/>
      <c r="Q50" s="95"/>
    </row>
    <row r="51" spans="3:17" s="16" customFormat="1" ht="12" thickBot="1">
      <c r="C51" s="94" t="s">
        <v>18</v>
      </c>
      <c r="J51" s="140">
        <f t="shared" ref="J51:Q51" si="13">J31+J39+J49</f>
        <v>23.670976027397266</v>
      </c>
      <c r="K51" s="140">
        <f t="shared" si="13"/>
        <v>12.248336900684913</v>
      </c>
      <c r="L51" s="140">
        <f t="shared" si="13"/>
        <v>12.586971075503874</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3:17" s="16" customFormat="1" ht="11.25" thickTop="1"/>
    <row r="53" spans="3:17" s="16" customFormat="1" hidden="1" outlineLevel="2">
      <c r="D53" s="171" t="s">
        <v>24</v>
      </c>
      <c r="J53" s="142">
        <f t="shared" ref="J53:Q53" si="14">IF(ISERROR(J31+J39+J49-J51),1,0)</f>
        <v>0</v>
      </c>
      <c r="K53" s="142">
        <f t="shared" si="14"/>
        <v>0</v>
      </c>
      <c r="L53" s="142">
        <f t="shared" si="14"/>
        <v>0</v>
      </c>
      <c r="M53" s="142">
        <f t="shared" ca="1" si="14"/>
        <v>0</v>
      </c>
      <c r="N53" s="142">
        <f t="shared" ca="1" si="14"/>
        <v>0</v>
      </c>
      <c r="O53" s="142">
        <f t="shared" ca="1" si="14"/>
        <v>0</v>
      </c>
      <c r="P53" s="142">
        <f t="shared" ca="1" si="14"/>
        <v>0</v>
      </c>
      <c r="Q53" s="142">
        <f t="shared" ca="1" si="14"/>
        <v>0</v>
      </c>
    </row>
    <row r="54" spans="3:17" s="16" customFormat="1" hidden="1" outlineLevel="2">
      <c r="D54" s="171" t="s">
        <v>25</v>
      </c>
      <c r="J54" s="125">
        <f t="shared" ref="J54:Q54" si="15">IF(J53&lt;&gt;0,0,IF(ROUND(J31+J39+J49-J51,5)&lt;&gt;0,1,0))</f>
        <v>0</v>
      </c>
      <c r="K54" s="125">
        <f t="shared" si="15"/>
        <v>0</v>
      </c>
      <c r="L54" s="125">
        <f t="shared" si="15"/>
        <v>0</v>
      </c>
      <c r="M54" s="125">
        <f t="shared" ca="1" si="15"/>
        <v>0</v>
      </c>
      <c r="N54" s="125">
        <f t="shared" ca="1" si="15"/>
        <v>0</v>
      </c>
      <c r="O54" s="125">
        <f t="shared" ca="1" si="15"/>
        <v>0</v>
      </c>
      <c r="P54" s="125">
        <f t="shared" ca="1" si="15"/>
        <v>0</v>
      </c>
      <c r="Q54" s="125">
        <f t="shared" ca="1" si="15"/>
        <v>0</v>
      </c>
    </row>
    <row r="55" spans="3:17" s="16" customFormat="1" collapsed="1">
      <c r="C55" s="171" t="s">
        <v>411</v>
      </c>
      <c r="I55" s="99">
        <f ca="1">IF(ISERROR(SUM(J55:Q55)),0,MIN(SUM(J55:Q55),1))</f>
        <v>0</v>
      </c>
      <c r="J55" s="96">
        <f t="shared" ref="J55:Q55" si="16">MIN(SUM(J53:J54),1)</f>
        <v>0</v>
      </c>
      <c r="K55" s="96">
        <f t="shared" si="16"/>
        <v>0</v>
      </c>
      <c r="L55" s="96">
        <f t="shared" si="16"/>
        <v>0</v>
      </c>
      <c r="M55" s="96">
        <f t="shared" ca="1" si="16"/>
        <v>0</v>
      </c>
      <c r="N55" s="96">
        <f t="shared" ca="1" si="16"/>
        <v>0</v>
      </c>
      <c r="O55" s="96">
        <f t="shared" ca="1" si="16"/>
        <v>0</v>
      </c>
      <c r="P55" s="96">
        <f t="shared" ca="1" si="16"/>
        <v>0</v>
      </c>
      <c r="Q55" s="96">
        <f t="shared" ca="1" si="16"/>
        <v>0</v>
      </c>
    </row>
    <row r="56" spans="3:17" s="16" customFormat="1"/>
    <row r="57" spans="3:17" s="16" customFormat="1">
      <c r="C57" s="259" t="str">
        <f>"Go to "&amp;IS_All_TO!$B$1</f>
        <v>Go to Income Statement - All Periods Outputs</v>
      </c>
      <c r="D57" s="9"/>
      <c r="E57" s="9"/>
      <c r="F57" s="9"/>
      <c r="G57" s="9"/>
      <c r="H57" s="9"/>
      <c r="I57" s="9"/>
    </row>
    <row r="58" spans="3:17" s="16" customFormat="1">
      <c r="C58" s="259" t="str">
        <f>"Go to "&amp;BS_All_TO!$B$1</f>
        <v>Go to Balance Sheet - All Periods Outputs</v>
      </c>
      <c r="D58" s="9"/>
      <c r="E58" s="9"/>
      <c r="F58" s="9"/>
      <c r="G58" s="9"/>
      <c r="H58" s="9"/>
      <c r="I58" s="9"/>
    </row>
    <row r="59" spans="3:17" s="16" customFormat="1"/>
    <row r="60" spans="3:17" s="16" customFormat="1">
      <c r="C60" s="172" t="s">
        <v>203</v>
      </c>
    </row>
    <row r="61" spans="3:17" s="16" customFormat="1">
      <c r="C61" s="139">
        <v>1</v>
      </c>
      <c r="D61" s="117"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C57:I57" location="HL_Sheet_Main_17" tooltip="Go to Income Statement - All Periods Outputs" display="HL_Sheet_Main_17"/>
    <hyperlink ref="C58:I58" location="HL_Sheet_Main_32" tooltip="Go to Balance Sheet - All Periods Outputs" display="HL_Sheet_Main_32"/>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428</v>
      </c>
    </row>
    <row r="10" spans="3:7" ht="16.5">
      <c r="C10" s="28" t="s">
        <v>547</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499</v>
      </c>
    </row>
    <row r="18" spans="3:3">
      <c r="C18" s="178" t="s">
        <v>429</v>
      </c>
    </row>
    <row r="19" spans="3:3">
      <c r="C19" s="178"/>
    </row>
    <row r="20" spans="3:3">
      <c r="C20" s="178"/>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pane="topRight"/>
      <selection pane="bottomLeft"/>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433</v>
      </c>
    </row>
    <row r="2" spans="1:57" ht="15">
      <c r="B2" s="30" t="str">
        <f ca="1">Model_Name</f>
        <v>SMA 2. Workbook Structure - Best Practice Model Example</v>
      </c>
    </row>
    <row r="3" spans="1:57">
      <c r="B3" s="341" t="s">
        <v>48</v>
      </c>
      <c r="C3" s="341"/>
      <c r="D3" s="341"/>
      <c r="E3" s="341"/>
      <c r="F3" s="341"/>
      <c r="G3" s="341"/>
      <c r="H3" s="341"/>
      <c r="I3" s="341"/>
      <c r="J3" s="341"/>
      <c r="K3" s="341"/>
      <c r="L3" s="112"/>
    </row>
    <row r="4" spans="1:57" ht="12.75">
      <c r="A4" s="32" t="s">
        <v>51</v>
      </c>
      <c r="B4" s="331" t="s">
        <v>53</v>
      </c>
      <c r="C4" s="331"/>
      <c r="D4" s="332" t="s">
        <v>102</v>
      </c>
      <c r="E4" s="332"/>
      <c r="F4" s="333" t="s">
        <v>205</v>
      </c>
      <c r="G4" s="333"/>
      <c r="H4" s="333" t="s">
        <v>206</v>
      </c>
      <c r="I4" s="333"/>
      <c r="J4" s="333" t="s">
        <v>207</v>
      </c>
      <c r="K4" s="333"/>
    </row>
    <row r="7" spans="1:57" ht="11.25">
      <c r="B7" s="338" t="s">
        <v>47</v>
      </c>
      <c r="C7" s="339"/>
      <c r="D7" s="339"/>
      <c r="E7" s="339"/>
      <c r="F7" s="339"/>
      <c r="G7" s="339"/>
      <c r="H7" s="339"/>
      <c r="I7" s="339"/>
      <c r="J7" s="339"/>
      <c r="K7" s="339"/>
      <c r="L7" s="339"/>
      <c r="M7" s="339"/>
      <c r="N7" s="339"/>
      <c r="O7" s="339"/>
      <c r="P7" s="339"/>
      <c r="Q7" s="339"/>
      <c r="R7" s="339"/>
      <c r="S7" s="340"/>
      <c r="V7" s="334" t="s">
        <v>430</v>
      </c>
      <c r="W7" s="334"/>
      <c r="X7" s="334"/>
      <c r="Y7" s="334"/>
      <c r="Z7" s="334"/>
      <c r="AA7" s="334"/>
      <c r="AB7" s="334"/>
      <c r="AC7" s="334"/>
      <c r="AD7" s="334"/>
      <c r="AE7" s="334"/>
      <c r="AF7" s="334"/>
      <c r="AG7" s="334"/>
      <c r="AH7" s="334"/>
      <c r="AI7" s="334"/>
      <c r="AJ7" s="334"/>
      <c r="AK7" s="334"/>
      <c r="AL7" s="334"/>
      <c r="AM7" s="334"/>
      <c r="AP7" s="159" t="str">
        <f>IF(TS_Periodicity=Annual,IS_All_TO!$B$7,IS_All_TO!$B$6)</f>
        <v>Year Ending 31 December</v>
      </c>
      <c r="AQ7" s="158"/>
      <c r="AR7" s="18"/>
      <c r="AS7" s="18"/>
      <c r="AT7" s="18"/>
      <c r="AU7" s="18"/>
      <c r="AV7" s="18"/>
      <c r="AW7" s="18"/>
      <c r="AX7" s="161" t="str">
        <f>IF(TS_Periodicity=Annual,IS_All_TO!J$7,IS_All_TO!J$6)</f>
        <v xml:space="preserve">2010 (A) </v>
      </c>
      <c r="AY7" s="161" t="str">
        <f>IF(TS_Periodicity=Annual,IS_All_TO!K$7,IS_All_TO!K$6)</f>
        <v xml:space="preserve">2011 (A) </v>
      </c>
      <c r="AZ7" s="161" t="str">
        <f>IF(TS_Periodicity=Annual,IS_All_TO!L$7,IS_All_TO!L$6)</f>
        <v xml:space="preserve">2012 (A) </v>
      </c>
      <c r="BA7" s="161" t="str">
        <f>IF(TS_Periodicity=Annual,IS_All_TO!M$7,IS_All_TO!M$6)</f>
        <v xml:space="preserve">2013 (F) </v>
      </c>
      <c r="BB7" s="161" t="str">
        <f>IF(TS_Periodicity=Annual,IS_All_TO!N$7,IS_All_TO!N$6)</f>
        <v xml:space="preserve">2014 (F) </v>
      </c>
      <c r="BC7" s="161" t="str">
        <f>IF(TS_Periodicity=Annual,IS_All_TO!O$7,IS_All_TO!O$6)</f>
        <v xml:space="preserve">2015 (F) </v>
      </c>
      <c r="BD7" s="161" t="str">
        <f>IF(TS_Periodicity=Annual,IS_All_TO!P$7,IS_All_TO!P$6)</f>
        <v xml:space="preserve">2016 (F) </v>
      </c>
      <c r="BE7" s="161" t="str">
        <f>IF(TS_Periodicity=Annual,IS_All_TO!Q$7,IS_All_TO!Q$6)</f>
        <v xml:space="preserve">2017 (F) </v>
      </c>
    </row>
    <row r="8" spans="1:57">
      <c r="B8" s="149"/>
      <c r="C8" s="149"/>
      <c r="D8" s="149"/>
      <c r="E8" s="149"/>
      <c r="F8" s="149"/>
      <c r="G8" s="149"/>
      <c r="H8" s="149"/>
      <c r="I8" s="149"/>
      <c r="J8" s="149"/>
      <c r="K8" s="149"/>
      <c r="L8" s="149"/>
      <c r="M8" s="149"/>
      <c r="N8" s="149"/>
      <c r="O8" s="149"/>
      <c r="P8" s="149"/>
      <c r="Q8" s="149"/>
      <c r="R8" s="149"/>
      <c r="S8" s="149"/>
      <c r="V8" s="167"/>
      <c r="W8" s="167"/>
      <c r="X8" s="167"/>
      <c r="Y8" s="167"/>
      <c r="Z8" s="167"/>
      <c r="AA8" s="167"/>
      <c r="AB8" s="167"/>
      <c r="AC8" s="167"/>
      <c r="AD8" s="167"/>
      <c r="AE8" s="167"/>
      <c r="AF8" s="167"/>
      <c r="AG8" s="167"/>
      <c r="AH8" s="167"/>
      <c r="AI8" s="167"/>
      <c r="AJ8" s="167"/>
      <c r="AK8" s="167"/>
      <c r="AL8" s="167"/>
      <c r="AM8" s="167"/>
    </row>
    <row r="9" spans="1:57">
      <c r="B9" s="150" t="str">
        <f>IF(TS_Periodicity=Annual,IS_All_TO!$B$7,IS_All_TO!$B$6)</f>
        <v>Year Ending 31 December</v>
      </c>
      <c r="C9" s="149"/>
      <c r="D9" s="149"/>
      <c r="E9" s="149"/>
      <c r="F9" s="149"/>
      <c r="G9" s="149"/>
      <c r="H9" s="149"/>
      <c r="I9" s="149"/>
      <c r="J9" s="149"/>
      <c r="K9" s="149"/>
      <c r="L9" s="149"/>
      <c r="M9" s="149"/>
      <c r="N9" s="151" t="str">
        <f>IF(TS_Periodicity=Annual,IS_All_TO!J$7,IS_All_TO!J$6)</f>
        <v xml:space="preserve">2010 (A) </v>
      </c>
      <c r="O9" s="151" t="str">
        <f>IF(TS_Periodicity=Annual,IS_All_TO!K$7,IS_All_TO!K$6)</f>
        <v xml:space="preserve">2011 (A) </v>
      </c>
      <c r="P9" s="151" t="str">
        <f>IF(TS_Periodicity=Annual,IS_All_TO!L$7,IS_All_TO!L$6)</f>
        <v xml:space="preserve">2012 (A) </v>
      </c>
      <c r="Q9" s="151" t="str">
        <f>IF(TS_Periodicity=Annual,IS_All_TO!M$7,IS_All_TO!M$6)</f>
        <v xml:space="preserve">2013 (F) </v>
      </c>
      <c r="R9" s="151" t="str">
        <f>IF(TS_Periodicity=Annual,IS_All_TO!N$7,IS_All_TO!N$6)</f>
        <v xml:space="preserve">2014 (F) </v>
      </c>
      <c r="S9" s="151" t="str">
        <f>IF(TS_Periodicity=Annual,IS_All_TO!O$7,IS_All_TO!O$6)</f>
        <v xml:space="preserve">2015 (F) </v>
      </c>
      <c r="V9" s="167"/>
      <c r="W9" s="167"/>
      <c r="X9" s="167"/>
      <c r="Y9" s="167"/>
      <c r="Z9" s="167"/>
      <c r="AA9" s="167"/>
      <c r="AB9" s="167"/>
      <c r="AC9" s="167"/>
      <c r="AD9" s="167"/>
      <c r="AE9" s="167"/>
      <c r="AF9" s="167"/>
      <c r="AG9" s="167"/>
      <c r="AH9" s="167"/>
      <c r="AI9" s="167"/>
      <c r="AJ9" s="167"/>
      <c r="AK9" s="167"/>
      <c r="AL9" s="167"/>
      <c r="AM9" s="167"/>
      <c r="AP9" s="172" t="s">
        <v>442</v>
      </c>
    </row>
    <row r="10" spans="1:57">
      <c r="B10" s="149"/>
      <c r="C10" s="149"/>
      <c r="D10" s="149"/>
      <c r="E10" s="149"/>
      <c r="F10" s="149"/>
      <c r="G10" s="149"/>
      <c r="H10" s="149"/>
      <c r="I10" s="149"/>
      <c r="J10" s="149"/>
      <c r="K10" s="149"/>
      <c r="L10" s="149"/>
      <c r="M10" s="149"/>
      <c r="N10" s="149"/>
      <c r="O10" s="149"/>
      <c r="P10" s="149"/>
      <c r="Q10" s="149"/>
      <c r="R10" s="149"/>
      <c r="S10" s="149"/>
      <c r="V10" s="167"/>
      <c r="W10" s="167"/>
      <c r="X10" s="167"/>
      <c r="Y10" s="167"/>
      <c r="Z10" s="167"/>
      <c r="AA10" s="167"/>
      <c r="AB10" s="167"/>
      <c r="AC10" s="167"/>
      <c r="AD10" s="167"/>
      <c r="AE10" s="167"/>
      <c r="AF10" s="167"/>
      <c r="AG10" s="167"/>
      <c r="AH10" s="167"/>
      <c r="AI10" s="167"/>
      <c r="AJ10" s="167"/>
      <c r="AK10" s="167"/>
      <c r="AL10" s="167"/>
      <c r="AM10" s="167"/>
    </row>
    <row r="11" spans="1:57">
      <c r="B11" s="152" t="str">
        <f>IS_All_TO!D18</f>
        <v>Revenue</v>
      </c>
      <c r="C11" s="149"/>
      <c r="D11" s="149"/>
      <c r="E11" s="149"/>
      <c r="F11" s="149"/>
      <c r="G11" s="149"/>
      <c r="H11" s="149"/>
      <c r="I11" s="149"/>
      <c r="J11" s="149"/>
      <c r="K11" s="149"/>
      <c r="L11" s="149"/>
      <c r="M11" s="149"/>
      <c r="N11" s="153">
        <f>IS_All_TO!J18</f>
        <v>125</v>
      </c>
      <c r="O11" s="153">
        <f>IS_All_TO!K18</f>
        <v>128.125</v>
      </c>
      <c r="P11" s="153">
        <f>IS_All_TO!L18</f>
        <v>131.328125</v>
      </c>
      <c r="Q11" s="153">
        <f>IS_All_TO!M18</f>
        <v>134.611328125</v>
      </c>
      <c r="R11" s="153">
        <f>IS_All_TO!N18</f>
        <v>137.97661132812499</v>
      </c>
      <c r="S11" s="153">
        <f>IS_All_TO!O18</f>
        <v>141.4260266113281</v>
      </c>
      <c r="V11" s="167"/>
      <c r="W11" s="167"/>
      <c r="X11" s="167"/>
      <c r="Y11" s="167"/>
      <c r="Z11" s="167"/>
      <c r="AA11" s="167"/>
      <c r="AB11" s="167"/>
      <c r="AC11" s="167"/>
      <c r="AD11" s="167"/>
      <c r="AE11" s="167"/>
      <c r="AF11" s="167"/>
      <c r="AG11" s="167"/>
      <c r="AH11" s="167"/>
      <c r="AI11" s="167"/>
      <c r="AJ11" s="167"/>
      <c r="AK11" s="167"/>
      <c r="AL11" s="167"/>
      <c r="AM11" s="167"/>
      <c r="AQ11" s="172" t="s">
        <v>348</v>
      </c>
      <c r="AU11" s="5" t="str">
        <f>Fcast_OP_TO!C18</f>
        <v>Revenue</v>
      </c>
    </row>
    <row r="12" spans="1:57">
      <c r="B12" s="179" t="str">
        <f>IS_All_TO!D19</f>
        <v>Cost of Goods Sold</v>
      </c>
      <c r="N12" s="153">
        <f>IS_All_TO!J19</f>
        <v>-25</v>
      </c>
      <c r="O12" s="153">
        <f>IS_All_TO!K19</f>
        <v>-25.624999999999996</v>
      </c>
      <c r="P12" s="153">
        <f>IS_All_TO!L19</f>
        <v>-26.265624999999993</v>
      </c>
      <c r="Q12" s="153">
        <f>IS_All_TO!M19</f>
        <v>-26.922265624999991</v>
      </c>
      <c r="R12" s="153">
        <f>IS_All_TO!N19</f>
        <v>-27.59532226562499</v>
      </c>
      <c r="S12" s="153">
        <f>IS_All_TO!O19</f>
        <v>-28.285205322265611</v>
      </c>
      <c r="V12" s="167"/>
      <c r="W12" s="167"/>
      <c r="X12" s="167"/>
      <c r="Y12" s="167"/>
      <c r="Z12" s="167"/>
      <c r="AA12" s="167"/>
      <c r="AB12" s="167"/>
      <c r="AC12" s="167"/>
      <c r="AD12" s="167"/>
      <c r="AE12" s="167"/>
      <c r="AF12" s="167"/>
      <c r="AG12" s="167"/>
      <c r="AH12" s="167"/>
      <c r="AI12" s="167"/>
      <c r="AJ12" s="167"/>
      <c r="AK12" s="167"/>
      <c r="AL12" s="167"/>
      <c r="AM12" s="167"/>
    </row>
    <row r="13" spans="1:57">
      <c r="B13" s="181" t="str">
        <f>IS_All_TO!C21</f>
        <v>Gross Margin</v>
      </c>
      <c r="N13" s="154">
        <f>SUM(N11:N12)</f>
        <v>100</v>
      </c>
      <c r="O13" s="154">
        <f t="shared" ref="O13:S13" si="0">SUM(O11:O12)</f>
        <v>102.5</v>
      </c>
      <c r="P13" s="154">
        <f t="shared" si="0"/>
        <v>105.0625</v>
      </c>
      <c r="Q13" s="154">
        <f t="shared" si="0"/>
        <v>107.68906250000001</v>
      </c>
      <c r="R13" s="154">
        <f t="shared" si="0"/>
        <v>110.3812890625</v>
      </c>
      <c r="S13" s="154">
        <f t="shared" si="0"/>
        <v>113.14082128906249</v>
      </c>
      <c r="V13" s="167"/>
      <c r="W13" s="167"/>
      <c r="X13" s="167"/>
      <c r="Y13" s="167"/>
      <c r="Z13" s="167"/>
      <c r="AA13" s="167"/>
      <c r="AB13" s="167"/>
      <c r="AC13" s="167"/>
      <c r="AD13" s="167"/>
      <c r="AE13" s="167"/>
      <c r="AF13" s="167"/>
      <c r="AG13" s="167"/>
      <c r="AH13" s="167"/>
      <c r="AI13" s="167"/>
      <c r="AJ13" s="167"/>
      <c r="AK13" s="167"/>
      <c r="AL13" s="167"/>
      <c r="AM13" s="167"/>
      <c r="AQ13" s="5" t="str">
        <f>AU11&amp;" (Historical)"</f>
        <v>Revenue (Historical)</v>
      </c>
      <c r="AX13" s="96">
        <f>IS_Hist_TO!J18</f>
        <v>125</v>
      </c>
      <c r="AY13" s="96">
        <f>IS_Hist_TO!K18</f>
        <v>128.125</v>
      </c>
      <c r="AZ13" s="96">
        <f>IS_Hist_TO!L18</f>
        <v>131.328125</v>
      </c>
      <c r="BA13" s="96">
        <f>IS_Hist_TO!M18</f>
        <v>0</v>
      </c>
      <c r="BB13" s="96">
        <f>IS_Hist_TO!N18</f>
        <v>0</v>
      </c>
      <c r="BC13" s="96">
        <f>IS_Hist_TO!O18</f>
        <v>0</v>
      </c>
      <c r="BD13" s="96">
        <f>IS_Hist_TO!P18</f>
        <v>0</v>
      </c>
      <c r="BE13" s="96">
        <f>IS_Hist_TO!Q18</f>
        <v>0</v>
      </c>
    </row>
    <row r="14" spans="1:57">
      <c r="B14" s="152" t="str">
        <f>IS_All_TO!D23</f>
        <v>Operating Expenditure</v>
      </c>
      <c r="C14" s="149"/>
      <c r="D14" s="149"/>
      <c r="E14" s="149"/>
      <c r="F14" s="149"/>
      <c r="G14" s="149"/>
      <c r="H14" s="149"/>
      <c r="I14" s="149"/>
      <c r="J14" s="149"/>
      <c r="K14" s="149"/>
      <c r="L14" s="149"/>
      <c r="M14" s="149"/>
      <c r="N14" s="153">
        <f>IS_All_TO!J23</f>
        <v>-40</v>
      </c>
      <c r="O14" s="153">
        <f>IS_All_TO!K23</f>
        <v>-41</v>
      </c>
      <c r="P14" s="153">
        <f>IS_All_TO!L23</f>
        <v>-42.024999999999999</v>
      </c>
      <c r="Q14" s="153">
        <f>IS_All_TO!M23</f>
        <v>-43.075624999999995</v>
      </c>
      <c r="R14" s="153">
        <f>IS_All_TO!N23</f>
        <v>-44.152515624999992</v>
      </c>
      <c r="S14" s="153">
        <f>IS_All_TO!O23</f>
        <v>-45.256328515624986</v>
      </c>
      <c r="V14" s="167"/>
      <c r="W14" s="167"/>
      <c r="X14" s="167"/>
      <c r="Y14" s="167"/>
      <c r="Z14" s="167"/>
      <c r="AA14" s="167"/>
      <c r="AB14" s="167"/>
      <c r="AC14" s="167"/>
      <c r="AD14" s="167"/>
      <c r="AE14" s="167"/>
      <c r="AF14" s="167"/>
      <c r="AG14" s="167"/>
      <c r="AH14" s="167"/>
      <c r="AI14" s="167"/>
      <c r="AJ14" s="167"/>
      <c r="AK14" s="167"/>
      <c r="AL14" s="167"/>
      <c r="AM14" s="167"/>
      <c r="AQ14" s="5" t="str">
        <f>AU11&amp;" (Forecast)"</f>
        <v>Revenue (Forecast)</v>
      </c>
      <c r="AX14" s="96">
        <f>Fcast_OP_TO!J18</f>
        <v>0</v>
      </c>
      <c r="AY14" s="96">
        <f>Fcast_OP_TO!K18</f>
        <v>0</v>
      </c>
      <c r="AZ14" s="96">
        <f>Fcast_OP_TO!L18</f>
        <v>0</v>
      </c>
      <c r="BA14" s="96">
        <f>Fcast_OP_TO!M18</f>
        <v>134.611328125</v>
      </c>
      <c r="BB14" s="96">
        <f>Fcast_OP_TO!N18</f>
        <v>137.97661132812499</v>
      </c>
      <c r="BC14" s="96">
        <f>Fcast_OP_TO!O18</f>
        <v>141.4260266113281</v>
      </c>
      <c r="BD14" s="96">
        <f>Fcast_OP_TO!P18</f>
        <v>144.96167727661128</v>
      </c>
      <c r="BE14" s="96">
        <f>Fcast_OP_TO!Q18</f>
        <v>148.58571920852654</v>
      </c>
    </row>
    <row r="15" spans="1:57">
      <c r="B15" s="180" t="str">
        <f>IS_All_TO!C25</f>
        <v>EBITDA</v>
      </c>
      <c r="C15" s="149"/>
      <c r="D15" s="149"/>
      <c r="E15" s="149"/>
      <c r="F15" s="149"/>
      <c r="G15" s="149"/>
      <c r="H15" s="149"/>
      <c r="I15" s="149"/>
      <c r="J15" s="149"/>
      <c r="K15" s="149"/>
      <c r="L15" s="149"/>
      <c r="M15" s="149"/>
      <c r="N15" s="154">
        <f>SUM(N13:N14)</f>
        <v>60</v>
      </c>
      <c r="O15" s="154">
        <f t="shared" ref="O15:S15" si="1">SUM(O13:O14)</f>
        <v>61.5</v>
      </c>
      <c r="P15" s="154">
        <f t="shared" si="1"/>
        <v>63.037500000000001</v>
      </c>
      <c r="Q15" s="154">
        <f t="shared" si="1"/>
        <v>64.613437500000003</v>
      </c>
      <c r="R15" s="154">
        <f t="shared" si="1"/>
        <v>66.22877343750001</v>
      </c>
      <c r="S15" s="154">
        <f t="shared" si="1"/>
        <v>67.884492773437501</v>
      </c>
      <c r="V15" s="167"/>
      <c r="W15" s="167"/>
      <c r="X15" s="167"/>
      <c r="Y15" s="167"/>
      <c r="Z15" s="167"/>
      <c r="AA15" s="167"/>
      <c r="AB15" s="167"/>
      <c r="AC15" s="167"/>
      <c r="AD15" s="167"/>
      <c r="AE15" s="167"/>
      <c r="AF15" s="167"/>
      <c r="AG15" s="167"/>
      <c r="AH15" s="167"/>
      <c r="AI15" s="167"/>
      <c r="AJ15" s="167"/>
      <c r="AK15" s="167"/>
      <c r="AL15" s="167"/>
      <c r="AM15" s="167"/>
    </row>
    <row r="16" spans="1:57">
      <c r="B16" s="152" t="str">
        <f>IS_All_TO!D29</f>
        <v>Depreciation &amp; Amortization</v>
      </c>
      <c r="C16" s="149"/>
      <c r="D16" s="149"/>
      <c r="E16" s="149"/>
      <c r="F16" s="149"/>
      <c r="G16" s="149"/>
      <c r="H16" s="149"/>
      <c r="I16" s="149"/>
      <c r="J16" s="149"/>
      <c r="K16" s="149"/>
      <c r="L16" s="149"/>
      <c r="M16" s="149"/>
      <c r="N16" s="153">
        <f>IS_All_TO!J29</f>
        <v>-14.125</v>
      </c>
      <c r="O16" s="153">
        <f>IS_All_TO!K29</f>
        <v>-14.478124999999999</v>
      </c>
      <c r="P16" s="153">
        <f>IS_All_TO!L29</f>
        <v>-14.840078124999996</v>
      </c>
      <c r="Q16" s="153">
        <f>IS_All_TO!M29</f>
        <v>-15.211080078124994</v>
      </c>
      <c r="R16" s="153">
        <f>IS_All_TO!N29</f>
        <v>-15.591357080078117</v>
      </c>
      <c r="S16" s="153">
        <f>IS_All_TO!O29</f>
        <v>-15.981141007080069</v>
      </c>
      <c r="V16" s="167"/>
      <c r="W16" s="167"/>
      <c r="X16" s="167"/>
      <c r="Y16" s="167"/>
      <c r="Z16" s="167"/>
      <c r="AA16" s="167"/>
      <c r="AB16" s="167"/>
      <c r="AC16" s="167"/>
      <c r="AD16" s="167"/>
      <c r="AE16" s="167"/>
      <c r="AF16" s="167"/>
      <c r="AG16" s="167"/>
      <c r="AH16" s="167"/>
      <c r="AI16" s="167"/>
      <c r="AJ16" s="167"/>
      <c r="AK16" s="167"/>
      <c r="AL16" s="167"/>
      <c r="AM16" s="167"/>
      <c r="AP16" s="172" t="s">
        <v>443</v>
      </c>
    </row>
    <row r="17" spans="2:57">
      <c r="B17" s="180" t="str">
        <f>IS_All_TO!C31</f>
        <v>EBIT</v>
      </c>
      <c r="C17" s="149"/>
      <c r="D17" s="149"/>
      <c r="E17" s="149"/>
      <c r="F17" s="149"/>
      <c r="G17" s="149"/>
      <c r="H17" s="149"/>
      <c r="I17" s="149"/>
      <c r="J17" s="149"/>
      <c r="K17" s="149"/>
      <c r="L17" s="149"/>
      <c r="M17" s="149"/>
      <c r="N17" s="154">
        <f>SUM(N15:N16)</f>
        <v>45.875</v>
      </c>
      <c r="O17" s="154">
        <f t="shared" ref="O17:S17" si="2">SUM(O15:O16)</f>
        <v>47.021875000000001</v>
      </c>
      <c r="P17" s="154">
        <f t="shared" si="2"/>
        <v>48.197421875000003</v>
      </c>
      <c r="Q17" s="154">
        <f t="shared" si="2"/>
        <v>49.40235742187501</v>
      </c>
      <c r="R17" s="154">
        <f t="shared" si="2"/>
        <v>50.637416357421891</v>
      </c>
      <c r="S17" s="154">
        <f t="shared" si="2"/>
        <v>51.903351766357432</v>
      </c>
      <c r="V17" s="167"/>
      <c r="W17" s="167"/>
      <c r="X17" s="167"/>
      <c r="Y17" s="167"/>
      <c r="Z17" s="167"/>
      <c r="AA17" s="167"/>
      <c r="AB17" s="167"/>
      <c r="AC17" s="167"/>
      <c r="AD17" s="167"/>
      <c r="AE17" s="167"/>
      <c r="AF17" s="167"/>
      <c r="AG17" s="167"/>
      <c r="AH17" s="167"/>
      <c r="AI17" s="167"/>
      <c r="AJ17" s="167"/>
      <c r="AK17" s="167"/>
      <c r="AL17" s="167"/>
      <c r="AM17" s="167"/>
    </row>
    <row r="18" spans="2:57">
      <c r="B18" s="152" t="str">
        <f>IS_All_TO!D33</f>
        <v>Interest Expense</v>
      </c>
      <c r="C18" s="149"/>
      <c r="D18" s="149"/>
      <c r="E18" s="149"/>
      <c r="F18" s="149"/>
      <c r="G18" s="149"/>
      <c r="H18" s="149"/>
      <c r="I18" s="149"/>
      <c r="J18" s="149"/>
      <c r="K18" s="149"/>
      <c r="L18" s="149"/>
      <c r="M18" s="149"/>
      <c r="N18" s="153">
        <f>IS_All_TO!J33</f>
        <v>-3.25</v>
      </c>
      <c r="O18" s="153">
        <f>IS_All_TO!K33</f>
        <v>-3.25</v>
      </c>
      <c r="P18" s="153">
        <f>IS_All_TO!L33</f>
        <v>-3.25</v>
      </c>
      <c r="Q18" s="153">
        <f ca="1">IS_All_TO!M33</f>
        <v>-3.25</v>
      </c>
      <c r="R18" s="153">
        <f ca="1">IS_All_TO!N33</f>
        <v>-3.4125000000000001</v>
      </c>
      <c r="S18" s="153">
        <f ca="1">IS_All_TO!O33</f>
        <v>-3.5750000000000002</v>
      </c>
      <c r="V18" s="167"/>
      <c r="W18" s="167"/>
      <c r="X18" s="167"/>
      <c r="Y18" s="167"/>
      <c r="Z18" s="167"/>
      <c r="AA18" s="167"/>
      <c r="AB18" s="167"/>
      <c r="AC18" s="167"/>
      <c r="AD18" s="167"/>
      <c r="AE18" s="167"/>
      <c r="AF18" s="167"/>
      <c r="AG18" s="167"/>
      <c r="AH18" s="167"/>
      <c r="AI18" s="167"/>
      <c r="AJ18" s="167"/>
      <c r="AK18" s="167"/>
      <c r="AL18" s="167"/>
      <c r="AM18" s="167"/>
      <c r="AQ18" s="172" t="s">
        <v>348</v>
      </c>
      <c r="AU18" s="5" t="str">
        <f>Fcast_OP_TO!C19</f>
        <v>Cost of Goods Sold</v>
      </c>
    </row>
    <row r="19" spans="2:57">
      <c r="B19" s="180" t="str">
        <f>IS_All_TO!C35</f>
        <v>Net Profit Before Tax</v>
      </c>
      <c r="C19" s="149"/>
      <c r="D19" s="149"/>
      <c r="E19" s="149"/>
      <c r="F19" s="149"/>
      <c r="G19" s="149"/>
      <c r="H19" s="149"/>
      <c r="I19" s="149"/>
      <c r="J19" s="149"/>
      <c r="K19" s="149"/>
      <c r="L19" s="149"/>
      <c r="M19" s="149"/>
      <c r="N19" s="154">
        <f>SUM(N17:N18)</f>
        <v>42.625</v>
      </c>
      <c r="O19" s="154">
        <f t="shared" ref="O19:S19" si="3">SUM(O17:O18)</f>
        <v>43.771875000000001</v>
      </c>
      <c r="P19" s="154">
        <f t="shared" si="3"/>
        <v>44.947421875000003</v>
      </c>
      <c r="Q19" s="154">
        <f t="shared" ca="1" si="3"/>
        <v>46.15235742187501</v>
      </c>
      <c r="R19" s="154">
        <f t="shared" ca="1" si="3"/>
        <v>47.22491635742189</v>
      </c>
      <c r="S19" s="154">
        <f t="shared" ca="1" si="3"/>
        <v>48.328351766357429</v>
      </c>
      <c r="V19" s="167"/>
      <c r="W19" s="167"/>
      <c r="X19" s="167"/>
      <c r="Y19" s="167"/>
      <c r="Z19" s="167"/>
      <c r="AA19" s="167"/>
      <c r="AB19" s="167"/>
      <c r="AC19" s="167"/>
      <c r="AD19" s="167"/>
      <c r="AE19" s="167"/>
      <c r="AF19" s="167"/>
      <c r="AG19" s="167"/>
      <c r="AH19" s="167"/>
      <c r="AI19" s="167"/>
      <c r="AJ19" s="167"/>
      <c r="AK19" s="167"/>
      <c r="AL19" s="167"/>
      <c r="AM19" s="167"/>
    </row>
    <row r="20" spans="2:57">
      <c r="B20" s="152" t="str">
        <f>IS_All_TO!D37</f>
        <v>Tax Expense / (Benefit)</v>
      </c>
      <c r="C20" s="149"/>
      <c r="D20" s="149"/>
      <c r="E20" s="149"/>
      <c r="F20" s="149"/>
      <c r="G20" s="149"/>
      <c r="H20" s="149"/>
      <c r="I20" s="149"/>
      <c r="J20" s="149"/>
      <c r="K20" s="149"/>
      <c r="L20" s="149"/>
      <c r="M20" s="149"/>
      <c r="N20" s="153">
        <f>IS_All_TO!J37</f>
        <v>-12.7875</v>
      </c>
      <c r="O20" s="153">
        <f>IS_All_TO!K37</f>
        <v>-13.131562499999999</v>
      </c>
      <c r="P20" s="153">
        <f>IS_All_TO!L37</f>
        <v>-13.4842265625</v>
      </c>
      <c r="Q20" s="153">
        <f ca="1">IS_All_TO!M37</f>
        <v>-13.845707226562503</v>
      </c>
      <c r="R20" s="153">
        <f ca="1">IS_All_TO!N37</f>
        <v>-14.167474907226566</v>
      </c>
      <c r="S20" s="153">
        <f ca="1">IS_All_TO!O37</f>
        <v>-14.498505529907227</v>
      </c>
      <c r="V20" s="167"/>
      <c r="W20" s="167"/>
      <c r="X20" s="167"/>
      <c r="Y20" s="167"/>
      <c r="Z20" s="167"/>
      <c r="AA20" s="167"/>
      <c r="AB20" s="167"/>
      <c r="AC20" s="167"/>
      <c r="AD20" s="167"/>
      <c r="AE20" s="167"/>
      <c r="AF20" s="167"/>
      <c r="AG20" s="167"/>
      <c r="AH20" s="167"/>
      <c r="AI20" s="167"/>
      <c r="AJ20" s="167"/>
      <c r="AK20" s="167"/>
      <c r="AL20" s="167"/>
      <c r="AM20" s="167"/>
      <c r="AQ20" s="5" t="str">
        <f>AU18&amp;" (Historical)"</f>
        <v>Cost of Goods Sold (Historical)</v>
      </c>
      <c r="AX20" s="96">
        <f>-IS_Hist_TO!J19</f>
        <v>25</v>
      </c>
      <c r="AY20" s="96">
        <f>-IS_Hist_TO!K19</f>
        <v>25.624999999999996</v>
      </c>
      <c r="AZ20" s="96">
        <f>-IS_Hist_TO!L19</f>
        <v>26.265624999999993</v>
      </c>
      <c r="BA20" s="96">
        <f>-IS_Hist_TO!M19</f>
        <v>0</v>
      </c>
      <c r="BB20" s="96">
        <f>-IS_Hist_TO!N19</f>
        <v>0</v>
      </c>
      <c r="BC20" s="96">
        <f>-IS_Hist_TO!O19</f>
        <v>0</v>
      </c>
      <c r="BD20" s="96">
        <f>-IS_Hist_TO!P19</f>
        <v>0</v>
      </c>
      <c r="BE20" s="96">
        <f>-IS_Hist_TO!Q19</f>
        <v>0</v>
      </c>
    </row>
    <row r="21" spans="2:57" ht="11.25" thickBot="1">
      <c r="B21" s="180" t="str">
        <f>IS_All_TO!C39</f>
        <v>Net Profit After Tax</v>
      </c>
      <c r="C21" s="149"/>
      <c r="D21" s="149"/>
      <c r="E21" s="149"/>
      <c r="F21" s="149"/>
      <c r="G21" s="149"/>
      <c r="H21" s="149"/>
      <c r="I21" s="149"/>
      <c r="J21" s="149"/>
      <c r="K21" s="149"/>
      <c r="L21" s="149"/>
      <c r="M21" s="149"/>
      <c r="N21" s="155">
        <f>SUM(N19:N20)</f>
        <v>29.837499999999999</v>
      </c>
      <c r="O21" s="155">
        <f t="shared" ref="O21:S21" si="4">SUM(O19:O20)</f>
        <v>30.6403125</v>
      </c>
      <c r="P21" s="155">
        <f t="shared" si="4"/>
        <v>31.463195312500005</v>
      </c>
      <c r="Q21" s="155">
        <f t="shared" ca="1" si="4"/>
        <v>32.306650195312507</v>
      </c>
      <c r="R21" s="155">
        <f t="shared" ca="1" si="4"/>
        <v>33.057441450195327</v>
      </c>
      <c r="S21" s="155">
        <f t="shared" ca="1" si="4"/>
        <v>33.829846236450202</v>
      </c>
      <c r="V21" s="167"/>
      <c r="W21" s="167"/>
      <c r="X21" s="167"/>
      <c r="Y21" s="167"/>
      <c r="Z21" s="167"/>
      <c r="AA21" s="167"/>
      <c r="AB21" s="167"/>
      <c r="AC21" s="167"/>
      <c r="AD21" s="167"/>
      <c r="AE21" s="167"/>
      <c r="AF21" s="167"/>
      <c r="AG21" s="167"/>
      <c r="AH21" s="167"/>
      <c r="AI21" s="167"/>
      <c r="AJ21" s="167"/>
      <c r="AK21" s="167"/>
      <c r="AL21" s="167"/>
      <c r="AM21" s="167"/>
      <c r="AQ21" s="5" t="str">
        <f>AU18&amp;" (Forecast)"</f>
        <v>Cost of Goods Sold (Forecast)</v>
      </c>
      <c r="AX21" s="96">
        <f>Fcast_OP_TO!J19</f>
        <v>0</v>
      </c>
      <c r="AY21" s="96">
        <f>Fcast_OP_TO!K19</f>
        <v>0</v>
      </c>
      <c r="AZ21" s="96">
        <f>Fcast_OP_TO!L19</f>
        <v>0</v>
      </c>
      <c r="BA21" s="96">
        <f>Fcast_OP_TO!M19</f>
        <v>26.922265624999991</v>
      </c>
      <c r="BB21" s="96">
        <f>Fcast_OP_TO!N19</f>
        <v>27.59532226562499</v>
      </c>
      <c r="BC21" s="96">
        <f>Fcast_OP_TO!O19</f>
        <v>28.285205322265611</v>
      </c>
      <c r="BD21" s="96">
        <f>Fcast_OP_TO!P19</f>
        <v>28.992335455322248</v>
      </c>
      <c r="BE21" s="96">
        <f>Fcast_OP_TO!Q19</f>
        <v>29.717143841705301</v>
      </c>
    </row>
    <row r="22" spans="2:57" ht="11.25" thickTop="1">
      <c r="V22" s="167"/>
      <c r="W22" s="167"/>
      <c r="X22" s="167"/>
      <c r="Y22" s="167"/>
      <c r="Z22" s="167"/>
      <c r="AA22" s="167"/>
      <c r="AB22" s="167"/>
      <c r="AC22" s="167"/>
      <c r="AD22" s="167"/>
      <c r="AE22" s="167"/>
      <c r="AF22" s="167"/>
      <c r="AG22" s="167"/>
      <c r="AH22" s="167"/>
      <c r="AI22" s="167"/>
      <c r="AJ22" s="167"/>
      <c r="AK22" s="167"/>
      <c r="AL22" s="167"/>
      <c r="AM22" s="167"/>
    </row>
    <row r="23" spans="2:57">
      <c r="V23" s="167"/>
      <c r="W23" s="167"/>
      <c r="X23" s="167"/>
      <c r="Y23" s="167"/>
      <c r="Z23" s="167"/>
      <c r="AA23" s="167"/>
      <c r="AB23" s="167"/>
      <c r="AC23" s="167"/>
      <c r="AD23" s="167"/>
      <c r="AE23" s="167"/>
      <c r="AF23" s="167"/>
      <c r="AG23" s="167"/>
      <c r="AH23" s="167"/>
      <c r="AI23" s="167"/>
      <c r="AJ23" s="167"/>
      <c r="AK23" s="167"/>
      <c r="AL23" s="167"/>
      <c r="AM23" s="167"/>
      <c r="AP23" s="172" t="s">
        <v>449</v>
      </c>
    </row>
    <row r="24" spans="2:57" ht="11.25">
      <c r="B24" s="335" t="s">
        <v>0</v>
      </c>
      <c r="C24" s="336"/>
      <c r="D24" s="336"/>
      <c r="E24" s="336"/>
      <c r="F24" s="336"/>
      <c r="G24" s="336"/>
      <c r="H24" s="336"/>
      <c r="I24" s="336"/>
      <c r="J24" s="336"/>
      <c r="K24" s="336"/>
      <c r="L24" s="336"/>
      <c r="M24" s="336"/>
      <c r="N24" s="336"/>
      <c r="O24" s="336"/>
      <c r="P24" s="336"/>
      <c r="Q24" s="336"/>
      <c r="R24" s="336"/>
      <c r="S24" s="337"/>
      <c r="V24" s="167"/>
      <c r="W24" s="167"/>
      <c r="X24" s="167"/>
      <c r="Y24" s="167"/>
      <c r="Z24" s="167"/>
      <c r="AA24" s="167"/>
      <c r="AB24" s="167"/>
      <c r="AC24" s="167"/>
      <c r="AD24" s="167"/>
      <c r="AE24" s="167"/>
      <c r="AF24" s="167"/>
      <c r="AG24" s="167"/>
      <c r="AH24" s="167"/>
      <c r="AI24" s="167"/>
      <c r="AJ24" s="167"/>
      <c r="AK24" s="167"/>
      <c r="AL24" s="167"/>
      <c r="AM24" s="167"/>
    </row>
    <row r="25" spans="2:57">
      <c r="B25" s="149"/>
      <c r="C25" s="149"/>
      <c r="D25" s="149"/>
      <c r="E25" s="149"/>
      <c r="F25" s="149"/>
      <c r="G25" s="149"/>
      <c r="H25" s="149"/>
      <c r="I25" s="149"/>
      <c r="J25" s="149"/>
      <c r="K25" s="149"/>
      <c r="L25" s="149"/>
      <c r="M25" s="149"/>
      <c r="N25" s="149"/>
      <c r="O25" s="149"/>
      <c r="P25" s="149"/>
      <c r="Q25" s="149"/>
      <c r="R25" s="149"/>
      <c r="S25" s="149"/>
      <c r="V25" s="167"/>
      <c r="W25" s="167"/>
      <c r="X25" s="167"/>
      <c r="Y25" s="167"/>
      <c r="Z25" s="167"/>
      <c r="AA25" s="167"/>
      <c r="AB25" s="167"/>
      <c r="AC25" s="167"/>
      <c r="AD25" s="167"/>
      <c r="AE25" s="167"/>
      <c r="AF25" s="167"/>
      <c r="AG25" s="167"/>
      <c r="AH25" s="167"/>
      <c r="AI25" s="167"/>
      <c r="AJ25" s="167"/>
      <c r="AK25" s="167"/>
      <c r="AL25" s="167"/>
      <c r="AM25" s="167"/>
      <c r="AQ25" s="172" t="s">
        <v>348</v>
      </c>
      <c r="AU25" s="5" t="str">
        <f>Fcast_OP_TO!C20</f>
        <v>Operating Expenditure</v>
      </c>
    </row>
    <row r="26" spans="2:57" ht="11.25">
      <c r="B26" s="150" t="str">
        <f>IF(TS_Periodicity=Annual,IS_All_TO!$B$7,IS_All_TO!$B$6)</f>
        <v>Year Ending 31 December</v>
      </c>
      <c r="C26" s="149"/>
      <c r="D26" s="149"/>
      <c r="E26" s="149"/>
      <c r="F26" s="149"/>
      <c r="G26" s="149"/>
      <c r="H26" s="149"/>
      <c r="I26" s="149"/>
      <c r="J26" s="149"/>
      <c r="K26" s="149"/>
      <c r="L26" s="149"/>
      <c r="M26" s="149"/>
      <c r="N26" s="151" t="str">
        <f>IF(TS_Periodicity=Annual,IS_All_TO!J$7,IS_All_TO!J$6)</f>
        <v xml:space="preserve">2010 (A) </v>
      </c>
      <c r="O26" s="151" t="str">
        <f>IF(TS_Periodicity=Annual,IS_All_TO!K$7,IS_All_TO!K$6)</f>
        <v xml:space="preserve">2011 (A) </v>
      </c>
      <c r="P26" s="151" t="str">
        <f>IF(TS_Periodicity=Annual,IS_All_TO!L$7,IS_All_TO!L$6)</f>
        <v xml:space="preserve">2012 (A) </v>
      </c>
      <c r="Q26" s="151" t="str">
        <f>IF(TS_Periodicity=Annual,IS_All_TO!M$7,IS_All_TO!M$6)</f>
        <v xml:space="preserve">2013 (F) </v>
      </c>
      <c r="R26" s="151" t="str">
        <f>IF(TS_Periodicity=Annual,IS_All_TO!N$7,IS_All_TO!N$6)</f>
        <v xml:space="preserve">2014 (F) </v>
      </c>
      <c r="S26" s="151" t="str">
        <f>IF(TS_Periodicity=Annual,IS_All_TO!O$7,IS_All_TO!O$6)</f>
        <v xml:space="preserve">2015 (F) </v>
      </c>
      <c r="V26" s="334" t="s">
        <v>431</v>
      </c>
      <c r="W26" s="334"/>
      <c r="X26" s="334"/>
      <c r="Y26" s="334"/>
      <c r="Z26" s="334"/>
      <c r="AA26" s="334"/>
      <c r="AB26" s="334"/>
      <c r="AC26" s="334"/>
      <c r="AD26" s="334"/>
      <c r="AE26" s="334"/>
      <c r="AF26" s="334"/>
      <c r="AG26" s="334"/>
      <c r="AH26" s="334"/>
      <c r="AI26" s="334"/>
      <c r="AJ26" s="334"/>
      <c r="AK26" s="334"/>
      <c r="AL26" s="334"/>
      <c r="AM26" s="334"/>
    </row>
    <row r="27" spans="2:57">
      <c r="B27" s="149"/>
      <c r="C27" s="149"/>
      <c r="D27" s="149"/>
      <c r="E27" s="149"/>
      <c r="F27" s="149"/>
      <c r="G27" s="149"/>
      <c r="H27" s="149"/>
      <c r="I27" s="149"/>
      <c r="J27" s="149"/>
      <c r="K27" s="149"/>
      <c r="L27" s="149"/>
      <c r="M27" s="149"/>
      <c r="N27" s="149"/>
      <c r="O27" s="149"/>
      <c r="P27" s="149"/>
      <c r="Q27" s="149"/>
      <c r="R27" s="149"/>
      <c r="S27" s="149"/>
      <c r="V27" s="167"/>
      <c r="W27" s="167"/>
      <c r="X27" s="167"/>
      <c r="Y27" s="167"/>
      <c r="Z27" s="167"/>
      <c r="AA27" s="167"/>
      <c r="AB27" s="167"/>
      <c r="AC27" s="167"/>
      <c r="AD27" s="167"/>
      <c r="AE27" s="167"/>
      <c r="AF27" s="167"/>
      <c r="AG27" s="167"/>
      <c r="AH27" s="167"/>
      <c r="AI27" s="167"/>
      <c r="AJ27" s="167"/>
      <c r="AK27" s="167"/>
      <c r="AL27" s="167"/>
      <c r="AM27" s="167"/>
      <c r="AQ27" s="5" t="str">
        <f>AU25&amp;" (Historical)"</f>
        <v>Operating Expenditure (Historical)</v>
      </c>
      <c r="AX27" s="96">
        <f>-IS_Hist_TO!J23</f>
        <v>40</v>
      </c>
      <c r="AY27" s="96">
        <f>-IS_Hist_TO!K23</f>
        <v>41</v>
      </c>
      <c r="AZ27" s="96">
        <f>-IS_Hist_TO!L23</f>
        <v>42.024999999999999</v>
      </c>
      <c r="BA27" s="96">
        <f>-IS_Hist_TO!M23</f>
        <v>0</v>
      </c>
      <c r="BB27" s="96">
        <f>-IS_Hist_TO!N23</f>
        <v>0</v>
      </c>
      <c r="BC27" s="96">
        <f>-IS_Hist_TO!O23</f>
        <v>0</v>
      </c>
      <c r="BD27" s="96">
        <f>-IS_Hist_TO!P23</f>
        <v>0</v>
      </c>
      <c r="BE27" s="96">
        <f>-IS_Hist_TO!Q23</f>
        <v>0</v>
      </c>
    </row>
    <row r="28" spans="2:57">
      <c r="B28" s="152" t="s">
        <v>30</v>
      </c>
      <c r="C28" s="149"/>
      <c r="D28" s="149"/>
      <c r="E28" s="149"/>
      <c r="F28" s="149"/>
      <c r="G28" s="149"/>
      <c r="H28" s="149"/>
      <c r="I28" s="149"/>
      <c r="J28" s="149"/>
      <c r="K28" s="149"/>
      <c r="L28" s="149"/>
      <c r="M28" s="149"/>
      <c r="N28" s="153">
        <f>BS_All_TO!J25</f>
        <v>20.773972602739725</v>
      </c>
      <c r="O28" s="153">
        <f>BS_All_TO!K25</f>
        <v>26.679158818493185</v>
      </c>
      <c r="P28" s="153">
        <f>BS_All_TO!L25</f>
        <v>40.39990838602489</v>
      </c>
      <c r="Q28" s="153">
        <f ca="1">BS_All_TO!M25</f>
        <v>54.913696895066394</v>
      </c>
      <c r="R28" s="153">
        <f ca="1">BS_All_TO!N25</f>
        <v>74.354563718127991</v>
      </c>
      <c r="S28" s="153">
        <f ca="1">BS_All_TO!O25</f>
        <v>89.103155336766122</v>
      </c>
      <c r="V28" s="167"/>
      <c r="W28" s="167"/>
      <c r="X28" s="167"/>
      <c r="Y28" s="167"/>
      <c r="Z28" s="167"/>
      <c r="AA28" s="167"/>
      <c r="AB28" s="167"/>
      <c r="AC28" s="167"/>
      <c r="AD28" s="167"/>
      <c r="AE28" s="167"/>
      <c r="AF28" s="167"/>
      <c r="AG28" s="167"/>
      <c r="AH28" s="167"/>
      <c r="AI28" s="167"/>
      <c r="AJ28" s="167"/>
      <c r="AK28" s="167"/>
      <c r="AL28" s="167"/>
      <c r="AM28" s="167"/>
      <c r="AQ28" s="5" t="str">
        <f>AU25&amp;" (Forecast)"</f>
        <v>Operating Expenditure (Forecast)</v>
      </c>
      <c r="AX28" s="96">
        <f>Fcast_OP_TO!J20</f>
        <v>0</v>
      </c>
      <c r="AY28" s="96">
        <f>Fcast_OP_TO!K20</f>
        <v>0</v>
      </c>
      <c r="AZ28" s="96">
        <f>Fcast_OP_TO!L20</f>
        <v>0</v>
      </c>
      <c r="BA28" s="96">
        <f>Fcast_OP_TO!M20</f>
        <v>43.075624999999995</v>
      </c>
      <c r="BB28" s="96">
        <f>Fcast_OP_TO!N20</f>
        <v>44.152515624999992</v>
      </c>
      <c r="BC28" s="96">
        <f>Fcast_OP_TO!O20</f>
        <v>45.256328515624986</v>
      </c>
      <c r="BD28" s="96">
        <f>Fcast_OP_TO!P20</f>
        <v>46.387736728515605</v>
      </c>
      <c r="BE28" s="96">
        <f>Fcast_OP_TO!Q20</f>
        <v>47.547430146728495</v>
      </c>
    </row>
    <row r="29" spans="2:57">
      <c r="B29" s="152" t="s">
        <v>31</v>
      </c>
      <c r="C29" s="149"/>
      <c r="D29" s="149"/>
      <c r="E29" s="149"/>
      <c r="F29" s="149"/>
      <c r="G29" s="149"/>
      <c r="H29" s="149"/>
      <c r="I29" s="149"/>
      <c r="J29" s="149"/>
      <c r="K29" s="149"/>
      <c r="L29" s="149"/>
      <c r="M29" s="149"/>
      <c r="N29" s="153">
        <f>BS_All_TO!J33</f>
        <v>163.875</v>
      </c>
      <c r="O29" s="153">
        <f>BS_All_TO!K33</f>
        <v>168.33437499999999</v>
      </c>
      <c r="P29" s="153">
        <f>BS_All_TO!L33</f>
        <v>172.88023437499999</v>
      </c>
      <c r="Q29" s="153">
        <f ca="1">BS_All_TO!M33</f>
        <v>177.51474023437501</v>
      </c>
      <c r="R29" s="153">
        <f ca="1">BS_All_TO!N33</f>
        <v>182.2401087402344</v>
      </c>
      <c r="S29" s="153">
        <f ca="1">BS_All_TO!O33</f>
        <v>187.05861145874027</v>
      </c>
      <c r="V29" s="167"/>
      <c r="W29" s="167"/>
      <c r="X29" s="167"/>
      <c r="Y29" s="167"/>
      <c r="Z29" s="167"/>
      <c r="AA29" s="167"/>
      <c r="AB29" s="167"/>
      <c r="AC29" s="167"/>
      <c r="AD29" s="167"/>
      <c r="AE29" s="167"/>
      <c r="AF29" s="167"/>
      <c r="AG29" s="167"/>
      <c r="AH29" s="167"/>
      <c r="AI29" s="167"/>
      <c r="AJ29" s="167"/>
      <c r="AK29" s="167"/>
      <c r="AL29" s="167"/>
      <c r="AM29" s="167"/>
    </row>
    <row r="30" spans="2:57">
      <c r="B30" s="156" t="s">
        <v>32</v>
      </c>
      <c r="C30" s="149"/>
      <c r="D30" s="149"/>
      <c r="E30" s="149"/>
      <c r="F30" s="149"/>
      <c r="G30" s="149"/>
      <c r="H30" s="149"/>
      <c r="I30" s="149"/>
      <c r="J30" s="149"/>
      <c r="K30" s="149"/>
      <c r="L30" s="149"/>
      <c r="M30" s="149"/>
      <c r="N30" s="154">
        <f>SUM(N28:N29)</f>
        <v>184.64897260273972</v>
      </c>
      <c r="O30" s="154">
        <f t="shared" ref="O30:S30" si="5">SUM(O28:O29)</f>
        <v>195.01353381849319</v>
      </c>
      <c r="P30" s="154">
        <f t="shared" si="5"/>
        <v>213.28014276102488</v>
      </c>
      <c r="Q30" s="154">
        <f t="shared" ca="1" si="5"/>
        <v>232.42843712944142</v>
      </c>
      <c r="R30" s="154">
        <f t="shared" ca="1" si="5"/>
        <v>256.59467245836242</v>
      </c>
      <c r="S30" s="154">
        <f t="shared" ca="1" si="5"/>
        <v>276.16176679550642</v>
      </c>
      <c r="V30" s="167"/>
      <c r="W30" s="167"/>
      <c r="X30" s="167"/>
      <c r="Y30" s="167"/>
      <c r="Z30" s="167"/>
      <c r="AA30" s="167"/>
      <c r="AB30" s="167"/>
      <c r="AC30" s="167"/>
      <c r="AD30" s="167"/>
      <c r="AE30" s="167"/>
      <c r="AF30" s="167"/>
      <c r="AG30" s="167"/>
      <c r="AH30" s="167"/>
      <c r="AI30" s="167"/>
      <c r="AJ30" s="167"/>
      <c r="AK30" s="167"/>
      <c r="AL30" s="167"/>
      <c r="AM30" s="167"/>
      <c r="AP30" s="172" t="s">
        <v>450</v>
      </c>
      <c r="AQ30" s="5"/>
      <c r="AX30" s="95"/>
    </row>
    <row r="31" spans="2:57">
      <c r="B31" s="149"/>
      <c r="C31" s="149"/>
      <c r="D31" s="149"/>
      <c r="E31" s="149"/>
      <c r="F31" s="149"/>
      <c r="G31" s="149"/>
      <c r="H31" s="149"/>
      <c r="I31" s="149"/>
      <c r="J31" s="149"/>
      <c r="K31" s="149"/>
      <c r="L31" s="149"/>
      <c r="M31" s="149"/>
      <c r="N31" s="153"/>
      <c r="O31" s="153"/>
      <c r="P31" s="153"/>
      <c r="Q31" s="153"/>
      <c r="R31" s="153"/>
      <c r="S31" s="153"/>
      <c r="V31" s="167"/>
      <c r="W31" s="167"/>
      <c r="X31" s="167"/>
      <c r="Y31" s="167"/>
      <c r="Z31" s="167"/>
      <c r="AA31" s="167"/>
      <c r="AB31" s="167"/>
      <c r="AC31" s="167"/>
      <c r="AD31" s="167"/>
      <c r="AE31" s="167"/>
      <c r="AF31" s="167"/>
      <c r="AG31" s="167"/>
      <c r="AH31" s="167"/>
      <c r="AI31" s="167"/>
      <c r="AJ31" s="167"/>
      <c r="AK31" s="167"/>
      <c r="AL31" s="167"/>
      <c r="AM31" s="167"/>
      <c r="AQ31" s="5"/>
      <c r="AX31" s="95"/>
    </row>
    <row r="32" spans="2:57">
      <c r="B32" s="152" t="s">
        <v>33</v>
      </c>
      <c r="C32" s="149"/>
      <c r="D32" s="149"/>
      <c r="E32" s="149"/>
      <c r="F32" s="149"/>
      <c r="G32" s="149"/>
      <c r="H32" s="149"/>
      <c r="I32" s="149"/>
      <c r="J32" s="149"/>
      <c r="K32" s="149"/>
      <c r="L32" s="149"/>
      <c r="M32" s="149"/>
      <c r="N32" s="153">
        <f>BS_All_TO!J44</f>
        <v>25.801198630136987</v>
      </c>
      <c r="O32" s="153">
        <f>BS_All_TO!K44</f>
        <v>27.345603595890413</v>
      </c>
      <c r="P32" s="153">
        <f>BS_All_TO!L44</f>
        <v>28.880614882172132</v>
      </c>
      <c r="Q32" s="153">
        <f ca="1">BS_All_TO!M44</f>
        <v>30.475584152932367</v>
      </c>
      <c r="R32" s="153">
        <f ca="1">BS_All_TO!N44</f>
        <v>32.013098756755682</v>
      </c>
      <c r="S32" s="153">
        <f ca="1">BS_All_TO!O44</f>
        <v>33.565269975674568</v>
      </c>
      <c r="V32" s="167"/>
      <c r="W32" s="167"/>
      <c r="X32" s="167"/>
      <c r="Y32" s="167"/>
      <c r="Z32" s="167"/>
      <c r="AA32" s="167"/>
      <c r="AB32" s="167"/>
      <c r="AC32" s="167"/>
      <c r="AD32" s="167"/>
      <c r="AE32" s="167"/>
      <c r="AF32" s="167"/>
      <c r="AG32" s="167"/>
      <c r="AH32" s="167"/>
      <c r="AI32" s="167"/>
      <c r="AJ32" s="167"/>
      <c r="AK32" s="167"/>
      <c r="AL32" s="167"/>
      <c r="AM32" s="167"/>
      <c r="AQ32" s="172" t="s">
        <v>348</v>
      </c>
      <c r="AU32" s="117" t="str">
        <f>"Net Assets - "&amp;INDEX(LU_Dashboard_Selected_Period,AU34)</f>
        <v xml:space="preserve">Net Assets - 2010 (A) </v>
      </c>
    </row>
    <row r="33" spans="2:57">
      <c r="B33" s="152" t="s">
        <v>35</v>
      </c>
      <c r="C33" s="149"/>
      <c r="D33" s="149"/>
      <c r="E33" s="149"/>
      <c r="F33" s="149"/>
      <c r="G33" s="149"/>
      <c r="H33" s="149"/>
      <c r="I33" s="149"/>
      <c r="J33" s="149"/>
      <c r="K33" s="149"/>
      <c r="L33" s="149"/>
      <c r="M33" s="149"/>
      <c r="N33" s="153">
        <f>BS_All_TO!J51</f>
        <v>56</v>
      </c>
      <c r="O33" s="153">
        <f>BS_All_TO!K51</f>
        <v>57</v>
      </c>
      <c r="P33" s="153">
        <f>BS_All_TO!L51</f>
        <v>58</v>
      </c>
      <c r="Q33" s="153">
        <f ca="1">BS_All_TO!M51</f>
        <v>59</v>
      </c>
      <c r="R33" s="153">
        <f ca="1">BS_All_TO!N51</f>
        <v>65</v>
      </c>
      <c r="S33" s="153">
        <f ca="1">BS_All_TO!O51</f>
        <v>66</v>
      </c>
      <c r="V33" s="167"/>
      <c r="W33" s="167"/>
      <c r="X33" s="167"/>
      <c r="Y33" s="167"/>
      <c r="Z33" s="167"/>
      <c r="AA33" s="167"/>
      <c r="AB33" s="167"/>
      <c r="AC33" s="167"/>
      <c r="AD33" s="167"/>
      <c r="AE33" s="167"/>
      <c r="AF33" s="167"/>
      <c r="AG33" s="167"/>
      <c r="AH33" s="167"/>
      <c r="AI33" s="167"/>
      <c r="AJ33" s="167"/>
      <c r="AK33" s="167"/>
      <c r="AL33" s="167"/>
      <c r="AM33" s="167"/>
    </row>
    <row r="34" spans="2:57">
      <c r="B34" s="156" t="s">
        <v>36</v>
      </c>
      <c r="C34" s="149"/>
      <c r="D34" s="149"/>
      <c r="E34" s="149"/>
      <c r="F34" s="149"/>
      <c r="G34" s="149"/>
      <c r="H34" s="149"/>
      <c r="I34" s="149"/>
      <c r="J34" s="149"/>
      <c r="K34" s="149"/>
      <c r="L34" s="149"/>
      <c r="M34" s="149"/>
      <c r="N34" s="154">
        <f>SUM(N32:N33)</f>
        <v>81.80119863013698</v>
      </c>
      <c r="O34" s="154">
        <f t="shared" ref="O34:S34" si="6">SUM(O32:O33)</f>
        <v>84.34560359589041</v>
      </c>
      <c r="P34" s="154">
        <f t="shared" si="6"/>
        <v>86.880614882172125</v>
      </c>
      <c r="Q34" s="154">
        <f t="shared" ca="1" si="6"/>
        <v>89.47558415293237</v>
      </c>
      <c r="R34" s="154">
        <f t="shared" ca="1" si="6"/>
        <v>97.013098756755682</v>
      </c>
      <c r="S34" s="154">
        <f t="shared" ca="1" si="6"/>
        <v>99.565269975674568</v>
      </c>
      <c r="V34" s="167"/>
      <c r="W34" s="167"/>
      <c r="X34" s="167"/>
      <c r="Y34" s="167"/>
      <c r="Z34" s="167"/>
      <c r="AA34" s="167"/>
      <c r="AB34" s="167"/>
      <c r="AC34" s="167"/>
      <c r="AD34" s="167"/>
      <c r="AE34" s="167"/>
      <c r="AF34" s="167"/>
      <c r="AG34" s="167"/>
      <c r="AH34" s="167"/>
      <c r="AI34" s="167"/>
      <c r="AJ34" s="167"/>
      <c r="AK34" s="167"/>
      <c r="AL34" s="167"/>
      <c r="AM34" s="167"/>
      <c r="AQ34" s="172" t="s">
        <v>445</v>
      </c>
      <c r="AU34" s="267">
        <v>1</v>
      </c>
    </row>
    <row r="35" spans="2:57">
      <c r="B35" s="149"/>
      <c r="C35" s="149"/>
      <c r="D35" s="149"/>
      <c r="E35" s="149"/>
      <c r="F35" s="149"/>
      <c r="G35" s="149"/>
      <c r="H35" s="149"/>
      <c r="I35" s="149"/>
      <c r="J35" s="149"/>
      <c r="K35" s="149"/>
      <c r="L35" s="149"/>
      <c r="M35" s="149"/>
      <c r="N35" s="153"/>
      <c r="O35" s="153"/>
      <c r="P35" s="153"/>
      <c r="Q35" s="153"/>
      <c r="R35" s="153"/>
      <c r="S35" s="153"/>
      <c r="V35" s="167"/>
      <c r="W35" s="167"/>
      <c r="X35" s="167"/>
      <c r="Y35" s="167"/>
      <c r="Z35" s="167"/>
      <c r="AA35" s="167"/>
      <c r="AB35" s="167"/>
      <c r="AC35" s="167"/>
      <c r="AD35" s="167"/>
      <c r="AE35" s="167"/>
      <c r="AF35" s="167"/>
      <c r="AG35" s="167"/>
      <c r="AH35" s="167"/>
      <c r="AI35" s="167"/>
      <c r="AJ35" s="167"/>
      <c r="AK35" s="167"/>
      <c r="AL35" s="167"/>
      <c r="AM35" s="167"/>
      <c r="AX35" s="329" t="s">
        <v>9</v>
      </c>
      <c r="AY35" s="329" t="s">
        <v>451</v>
      </c>
      <c r="AZ35" s="329" t="s">
        <v>452</v>
      </c>
      <c r="BA35" s="329" t="s">
        <v>453</v>
      </c>
      <c r="BB35" s="329" t="s">
        <v>454</v>
      </c>
    </row>
    <row r="36" spans="2:57">
      <c r="B36" s="156" t="s">
        <v>37</v>
      </c>
      <c r="C36" s="149"/>
      <c r="D36" s="149"/>
      <c r="E36" s="149"/>
      <c r="F36" s="149"/>
      <c r="G36" s="149"/>
      <c r="H36" s="149"/>
      <c r="I36" s="149"/>
      <c r="J36" s="149"/>
      <c r="K36" s="149"/>
      <c r="L36" s="149"/>
      <c r="M36" s="149"/>
      <c r="N36" s="157">
        <f>N30-N34</f>
        <v>102.84777397260274</v>
      </c>
      <c r="O36" s="157">
        <f t="shared" ref="O36:S36" si="7">O30-O34</f>
        <v>110.66793022260278</v>
      </c>
      <c r="P36" s="157">
        <f t="shared" si="7"/>
        <v>126.39952787885275</v>
      </c>
      <c r="Q36" s="157">
        <f t="shared" ca="1" si="7"/>
        <v>142.95285297650906</v>
      </c>
      <c r="R36" s="157">
        <f t="shared" ca="1" si="7"/>
        <v>159.58157370160674</v>
      </c>
      <c r="S36" s="157">
        <f t="shared" ca="1" si="7"/>
        <v>176.59649681983186</v>
      </c>
      <c r="V36" s="167"/>
      <c r="W36" s="167"/>
      <c r="X36" s="167"/>
      <c r="Y36" s="167"/>
      <c r="Z36" s="167"/>
      <c r="AA36" s="167"/>
      <c r="AB36" s="167"/>
      <c r="AC36" s="167"/>
      <c r="AD36" s="167"/>
      <c r="AE36" s="167"/>
      <c r="AF36" s="167"/>
      <c r="AG36" s="167"/>
      <c r="AH36" s="167"/>
      <c r="AI36" s="167"/>
      <c r="AJ36" s="167"/>
      <c r="AK36" s="167"/>
      <c r="AL36" s="167"/>
      <c r="AM36" s="167"/>
      <c r="AQ36" s="172" t="s">
        <v>455</v>
      </c>
      <c r="AX36" s="330"/>
      <c r="AY36" s="330"/>
      <c r="AZ36" s="330"/>
      <c r="BA36" s="330"/>
      <c r="BB36" s="330"/>
    </row>
    <row r="37" spans="2:57">
      <c r="B37" s="149"/>
      <c r="C37" s="149"/>
      <c r="D37" s="149"/>
      <c r="E37" s="149"/>
      <c r="F37" s="149"/>
      <c r="G37" s="149"/>
      <c r="H37" s="149"/>
      <c r="I37" s="149"/>
      <c r="J37" s="149"/>
      <c r="K37" s="149"/>
      <c r="L37" s="149"/>
      <c r="M37" s="149"/>
      <c r="N37" s="153"/>
      <c r="O37" s="153"/>
      <c r="P37" s="153"/>
      <c r="Q37" s="153"/>
      <c r="R37" s="153"/>
      <c r="S37" s="153"/>
      <c r="V37" s="167"/>
      <c r="W37" s="167"/>
      <c r="X37" s="167"/>
      <c r="Y37" s="167"/>
      <c r="Z37" s="167"/>
      <c r="AA37" s="167"/>
      <c r="AB37" s="167"/>
      <c r="AC37" s="167"/>
      <c r="AD37" s="167"/>
      <c r="AE37" s="167"/>
      <c r="AF37" s="167"/>
      <c r="AG37" s="167"/>
      <c r="AH37" s="167"/>
      <c r="AI37" s="167"/>
      <c r="AJ37" s="167"/>
      <c r="AK37" s="167"/>
      <c r="AL37" s="167"/>
      <c r="AM37" s="167"/>
      <c r="AQ37" s="171" t="s">
        <v>456</v>
      </c>
      <c r="AX37" s="95">
        <f ca="1">OFFSET($N$30,0,AU34-1)</f>
        <v>184.64897260273972</v>
      </c>
      <c r="AY37" s="95"/>
      <c r="AZ37" s="164">
        <v>0</v>
      </c>
      <c r="BA37" s="166">
        <f ca="1">AX37</f>
        <v>184.64897260273972</v>
      </c>
      <c r="BB37" s="95">
        <f ca="1">SUM(AZ37:BA37)</f>
        <v>184.64897260273972</v>
      </c>
    </row>
    <row r="38" spans="2:57">
      <c r="B38" s="152" t="str">
        <f>BS_All_TO!D59</f>
        <v>Ordinary Equity</v>
      </c>
      <c r="C38" s="149"/>
      <c r="D38" s="149"/>
      <c r="E38" s="149"/>
      <c r="F38" s="149"/>
      <c r="G38" s="149"/>
      <c r="H38" s="149"/>
      <c r="I38" s="149"/>
      <c r="J38" s="149"/>
      <c r="K38" s="149"/>
      <c r="L38" s="149"/>
      <c r="M38" s="149"/>
      <c r="N38" s="153">
        <f>BS_All_TO!J59</f>
        <v>75</v>
      </c>
      <c r="O38" s="153">
        <f>BS_All_TO!K59</f>
        <v>75</v>
      </c>
      <c r="P38" s="153">
        <f>BS_All_TO!L59</f>
        <v>75</v>
      </c>
      <c r="Q38" s="153">
        <f ca="1">BS_All_TO!M59</f>
        <v>75</v>
      </c>
      <c r="R38" s="153">
        <f ca="1">BS_All_TO!N59</f>
        <v>75</v>
      </c>
      <c r="S38" s="153">
        <f ca="1">BS_All_TO!O59</f>
        <v>75</v>
      </c>
      <c r="V38" s="167"/>
      <c r="W38" s="167"/>
      <c r="X38" s="167"/>
      <c r="Y38" s="167"/>
      <c r="Z38" s="167"/>
      <c r="AA38" s="167"/>
      <c r="AB38" s="167"/>
      <c r="AC38" s="167"/>
      <c r="AD38" s="167"/>
      <c r="AE38" s="167"/>
      <c r="AF38" s="167"/>
      <c r="AG38" s="167"/>
      <c r="AH38" s="167"/>
      <c r="AI38" s="167"/>
      <c r="AJ38" s="167"/>
      <c r="AK38" s="167"/>
      <c r="AL38" s="167"/>
      <c r="AM38" s="167"/>
      <c r="AQ38" s="171" t="s">
        <v>457</v>
      </c>
      <c r="AX38" s="97"/>
      <c r="AY38" s="97">
        <f ca="1">-OFFSET($N$34,0,AU34-1)</f>
        <v>-81.80119863013698</v>
      </c>
      <c r="AZ38" s="165">
        <f ca="1">BA37+IF(AY38&lt;0,AY38,0)</f>
        <v>102.84777397260274</v>
      </c>
      <c r="BA38" s="97">
        <f ca="1">ABS(AY38)</f>
        <v>81.80119863013698</v>
      </c>
      <c r="BB38" s="97">
        <f ca="1">SUM(AZ38:BA38)</f>
        <v>184.64897260273972</v>
      </c>
    </row>
    <row r="39" spans="2:57">
      <c r="B39" s="152" t="str">
        <f>BS_All_TO!D60</f>
        <v>Other Equity</v>
      </c>
      <c r="C39" s="149"/>
      <c r="D39" s="149"/>
      <c r="E39" s="149"/>
      <c r="F39" s="149"/>
      <c r="G39" s="149"/>
      <c r="H39" s="149"/>
      <c r="I39" s="149"/>
      <c r="J39" s="149"/>
      <c r="K39" s="149"/>
      <c r="L39" s="149"/>
      <c r="M39" s="149"/>
      <c r="N39" s="153">
        <f>BS_All_TO!J60</f>
        <v>5</v>
      </c>
      <c r="O39" s="153">
        <f>BS_All_TO!K60</f>
        <v>5</v>
      </c>
      <c r="P39" s="153">
        <f>BS_All_TO!L60</f>
        <v>5</v>
      </c>
      <c r="Q39" s="153">
        <f>BS_All_TO!M60</f>
        <v>5.3999999999999986</v>
      </c>
      <c r="R39" s="153">
        <f>BS_All_TO!N60</f>
        <v>5.4999999999999982</v>
      </c>
      <c r="S39" s="153">
        <f>BS_All_TO!O60</f>
        <v>5.5999999999999979</v>
      </c>
      <c r="V39" s="167"/>
      <c r="W39" s="167"/>
      <c r="X39" s="167"/>
      <c r="Y39" s="167"/>
      <c r="Z39" s="167"/>
      <c r="AA39" s="167"/>
      <c r="AB39" s="167"/>
      <c r="AC39" s="167"/>
      <c r="AD39" s="167"/>
      <c r="AE39" s="167"/>
      <c r="AF39" s="167"/>
      <c r="AG39" s="167"/>
      <c r="AH39" s="167"/>
      <c r="AI39" s="167"/>
      <c r="AJ39" s="167"/>
      <c r="AK39" s="167"/>
      <c r="AL39" s="167"/>
      <c r="AM39" s="167"/>
      <c r="AQ39" s="172" t="s">
        <v>37</v>
      </c>
      <c r="AX39" s="98">
        <f ca="1">AX37+SUM(AY38:AY38)</f>
        <v>102.84777397260274</v>
      </c>
      <c r="AY39" s="98"/>
      <c r="AZ39" s="163">
        <v>0</v>
      </c>
      <c r="BA39" s="98">
        <f ca="1">SUM(AX37,AY38:AY38)</f>
        <v>102.84777397260274</v>
      </c>
      <c r="BB39" s="98">
        <f ca="1">SUM(AZ39:BA39)</f>
        <v>102.84777397260274</v>
      </c>
    </row>
    <row r="40" spans="2:57">
      <c r="B40" s="152" t="str">
        <f>BS_All_TO!D66</f>
        <v>Retained Profits</v>
      </c>
      <c r="C40" s="149"/>
      <c r="D40" s="149"/>
      <c r="E40" s="149"/>
      <c r="F40" s="149"/>
      <c r="G40" s="149"/>
      <c r="H40" s="149"/>
      <c r="I40" s="149"/>
      <c r="J40" s="149"/>
      <c r="K40" s="149"/>
      <c r="L40" s="149"/>
      <c r="M40" s="149"/>
      <c r="N40" s="153">
        <f>BS_All_TO!J66</f>
        <v>22.847773972602738</v>
      </c>
      <c r="O40" s="153">
        <f>BS_All_TO!K66</f>
        <v>30.667930222602777</v>
      </c>
      <c r="P40" s="153">
        <f>BS_All_TO!L66</f>
        <v>46.399527878852751</v>
      </c>
      <c r="Q40" s="153">
        <f ca="1">BS_All_TO!M66</f>
        <v>62.552852976509001</v>
      </c>
      <c r="R40" s="153">
        <f ca="1">BS_All_TO!N66</f>
        <v>79.081573701606658</v>
      </c>
      <c r="S40" s="153">
        <f ca="1">BS_All_TO!O66</f>
        <v>95.996496819831762</v>
      </c>
      <c r="V40" s="167"/>
      <c r="W40" s="167"/>
      <c r="X40" s="167"/>
      <c r="Y40" s="167"/>
      <c r="Z40" s="167"/>
      <c r="AA40" s="167"/>
      <c r="AB40" s="167"/>
      <c r="AC40" s="167"/>
      <c r="AD40" s="167"/>
      <c r="AE40" s="167"/>
      <c r="AF40" s="167"/>
      <c r="AG40" s="167"/>
      <c r="AH40" s="167"/>
      <c r="AI40" s="167"/>
      <c r="AJ40" s="167"/>
      <c r="AK40" s="167"/>
      <c r="AL40" s="167"/>
      <c r="AM40" s="167"/>
    </row>
    <row r="41" spans="2:57">
      <c r="B41" s="156" t="s">
        <v>40</v>
      </c>
      <c r="C41" s="149"/>
      <c r="D41" s="149"/>
      <c r="E41" s="149"/>
      <c r="F41" s="149"/>
      <c r="G41" s="149"/>
      <c r="H41" s="149"/>
      <c r="I41" s="149"/>
      <c r="J41" s="149"/>
      <c r="K41" s="149"/>
      <c r="L41" s="149"/>
      <c r="M41" s="149"/>
      <c r="N41" s="157">
        <f>SUM(N38:N40)</f>
        <v>102.84777397260274</v>
      </c>
      <c r="O41" s="157">
        <f t="shared" ref="O41:S41" si="8">SUM(O38:O40)</f>
        <v>110.66793022260278</v>
      </c>
      <c r="P41" s="157">
        <f t="shared" si="8"/>
        <v>126.39952787885275</v>
      </c>
      <c r="Q41" s="157">
        <f t="shared" ca="1" si="8"/>
        <v>142.95285297650901</v>
      </c>
      <c r="R41" s="157">
        <f t="shared" ca="1" si="8"/>
        <v>159.58157370160666</v>
      </c>
      <c r="S41" s="157">
        <f t="shared" ca="1" si="8"/>
        <v>176.59649681983177</v>
      </c>
      <c r="V41" s="167"/>
      <c r="W41" s="167"/>
      <c r="X41" s="167"/>
      <c r="Y41" s="167"/>
      <c r="Z41" s="167"/>
      <c r="AA41" s="167"/>
      <c r="AB41" s="167"/>
      <c r="AC41" s="167"/>
      <c r="AD41" s="167"/>
      <c r="AE41" s="167"/>
      <c r="AF41" s="167"/>
      <c r="AG41" s="167"/>
      <c r="AH41" s="167"/>
      <c r="AI41" s="167"/>
      <c r="AJ41" s="167"/>
      <c r="AK41" s="167"/>
      <c r="AL41" s="167"/>
      <c r="AM41" s="167"/>
      <c r="AP41" s="172" t="s">
        <v>567</v>
      </c>
    </row>
    <row r="42" spans="2:57">
      <c r="B42" s="149"/>
      <c r="C42" s="149"/>
      <c r="D42" s="149"/>
      <c r="E42" s="149"/>
      <c r="F42" s="149"/>
      <c r="G42" s="149"/>
      <c r="H42" s="149"/>
      <c r="I42" s="149"/>
      <c r="J42" s="149"/>
      <c r="K42" s="149"/>
      <c r="L42" s="149"/>
      <c r="M42" s="149"/>
      <c r="N42" s="149"/>
      <c r="O42" s="149"/>
      <c r="P42" s="149"/>
      <c r="Q42" s="149"/>
      <c r="R42" s="149"/>
      <c r="S42" s="149"/>
      <c r="V42" s="167"/>
      <c r="W42" s="167"/>
      <c r="X42" s="167"/>
      <c r="Y42" s="167"/>
      <c r="Z42" s="167"/>
      <c r="AA42" s="167"/>
      <c r="AB42" s="167"/>
      <c r="AC42" s="167"/>
      <c r="AD42" s="167"/>
      <c r="AE42" s="167"/>
      <c r="AF42" s="167"/>
      <c r="AG42" s="167"/>
      <c r="AH42" s="167"/>
      <c r="AI42" s="167"/>
      <c r="AJ42" s="167"/>
      <c r="AK42" s="167"/>
      <c r="AL42" s="167"/>
      <c r="AM42" s="167"/>
    </row>
    <row r="43" spans="2:57">
      <c r="V43" s="167"/>
      <c r="W43" s="167"/>
      <c r="X43" s="167"/>
      <c r="Y43" s="167"/>
      <c r="Z43" s="167"/>
      <c r="AA43" s="167"/>
      <c r="AB43" s="167"/>
      <c r="AC43" s="167"/>
      <c r="AD43" s="167"/>
      <c r="AE43" s="167"/>
      <c r="AF43" s="167"/>
      <c r="AG43" s="167"/>
      <c r="AH43" s="167"/>
      <c r="AI43" s="167"/>
      <c r="AJ43" s="167"/>
      <c r="AK43" s="167"/>
      <c r="AL43" s="167"/>
      <c r="AM43" s="167"/>
      <c r="AQ43" s="172" t="s">
        <v>348</v>
      </c>
      <c r="AU43" s="171" t="s">
        <v>497</v>
      </c>
    </row>
    <row r="44" spans="2:57" ht="11.25">
      <c r="B44" s="342" t="s">
        <v>45</v>
      </c>
      <c r="C44" s="343"/>
      <c r="D44" s="343"/>
      <c r="E44" s="343"/>
      <c r="F44" s="343"/>
      <c r="G44" s="343"/>
      <c r="H44" s="343"/>
      <c r="I44" s="343"/>
      <c r="J44" s="343"/>
      <c r="K44" s="343"/>
      <c r="L44" s="343"/>
      <c r="M44" s="343"/>
      <c r="N44" s="343"/>
      <c r="O44" s="343"/>
      <c r="P44" s="343"/>
      <c r="Q44" s="343"/>
      <c r="R44" s="343"/>
      <c r="S44" s="344"/>
      <c r="V44" s="167"/>
      <c r="W44" s="167"/>
      <c r="X44" s="167"/>
      <c r="Y44" s="167"/>
      <c r="Z44" s="167"/>
      <c r="AA44" s="167"/>
      <c r="AB44" s="167"/>
      <c r="AC44" s="167"/>
      <c r="AD44" s="167"/>
      <c r="AE44" s="167"/>
      <c r="AF44" s="167"/>
      <c r="AG44" s="167"/>
      <c r="AH44" s="167"/>
      <c r="AI44" s="167"/>
      <c r="AJ44" s="167"/>
      <c r="AK44" s="167"/>
      <c r="AL44" s="167"/>
      <c r="AM44" s="167"/>
    </row>
    <row r="45" spans="2:57">
      <c r="B45" s="149"/>
      <c r="C45" s="149"/>
      <c r="D45" s="149"/>
      <c r="E45" s="149"/>
      <c r="F45" s="149"/>
      <c r="G45" s="149"/>
      <c r="H45" s="149"/>
      <c r="I45" s="149"/>
      <c r="J45" s="149"/>
      <c r="K45" s="149"/>
      <c r="L45" s="149"/>
      <c r="M45" s="149"/>
      <c r="N45" s="149"/>
      <c r="O45" s="149"/>
      <c r="P45" s="149"/>
      <c r="Q45" s="149"/>
      <c r="R45" s="149"/>
      <c r="S45" s="149"/>
      <c r="V45" s="167"/>
      <c r="W45" s="167"/>
      <c r="X45" s="167"/>
      <c r="Y45" s="167"/>
      <c r="Z45" s="167"/>
      <c r="AA45" s="167"/>
      <c r="AB45" s="167"/>
      <c r="AC45" s="167"/>
      <c r="AD45" s="167"/>
      <c r="AE45" s="167"/>
      <c r="AF45" s="167"/>
      <c r="AG45" s="167"/>
      <c r="AH45" s="167"/>
      <c r="AI45" s="167"/>
      <c r="AJ45" s="167"/>
      <c r="AK45" s="167"/>
      <c r="AL45" s="167"/>
      <c r="AM45" s="167"/>
      <c r="AQ45" s="5" t="str">
        <f>AQ13</f>
        <v>Revenue (Historical)</v>
      </c>
      <c r="AX45" s="96">
        <f>AX13</f>
        <v>125</v>
      </c>
      <c r="AY45" s="96">
        <f t="shared" ref="AY45:BE45" si="9">AY13</f>
        <v>128.125</v>
      </c>
      <c r="AZ45" s="96">
        <f t="shared" si="9"/>
        <v>131.328125</v>
      </c>
      <c r="BA45" s="96">
        <f t="shared" si="9"/>
        <v>0</v>
      </c>
      <c r="BB45" s="96">
        <f t="shared" si="9"/>
        <v>0</v>
      </c>
      <c r="BC45" s="96">
        <f t="shared" si="9"/>
        <v>0</v>
      </c>
      <c r="BD45" s="96">
        <f t="shared" si="9"/>
        <v>0</v>
      </c>
      <c r="BE45" s="96">
        <f t="shared" si="9"/>
        <v>0</v>
      </c>
    </row>
    <row r="46" spans="2:57" ht="11.25">
      <c r="B46" s="150" t="str">
        <f>IF(TS_Periodicity=Annual,IS_All_TO!$B$7,IS_All_TO!$B$6)</f>
        <v>Year Ending 31 December</v>
      </c>
      <c r="C46" s="149"/>
      <c r="D46" s="149"/>
      <c r="E46" s="149"/>
      <c r="F46" s="149"/>
      <c r="G46" s="149"/>
      <c r="H46" s="149"/>
      <c r="I46" s="149"/>
      <c r="J46" s="149"/>
      <c r="K46" s="149"/>
      <c r="L46" s="149"/>
      <c r="M46" s="149"/>
      <c r="N46" s="151" t="str">
        <f>IF(TS_Periodicity=Annual,IS_All_TO!J$7,IS_All_TO!J$6)</f>
        <v xml:space="preserve">2010 (A) </v>
      </c>
      <c r="O46" s="151" t="str">
        <f>IF(TS_Periodicity=Annual,IS_All_TO!K$7,IS_All_TO!K$6)</f>
        <v xml:space="preserve">2011 (A) </v>
      </c>
      <c r="P46" s="151" t="str">
        <f>IF(TS_Periodicity=Annual,IS_All_TO!L$7,IS_All_TO!L$6)</f>
        <v xml:space="preserve">2012 (A) </v>
      </c>
      <c r="Q46" s="151" t="str">
        <f>IF(TS_Periodicity=Annual,IS_All_TO!M$7,IS_All_TO!M$6)</f>
        <v xml:space="preserve">2013 (F) </v>
      </c>
      <c r="R46" s="151" t="str">
        <f>IF(TS_Periodicity=Annual,IS_All_TO!N$7,IS_All_TO!N$6)</f>
        <v xml:space="preserve">2014 (F) </v>
      </c>
      <c r="S46" s="151" t="str">
        <f>IF(TS_Periodicity=Annual,IS_All_TO!O$7,IS_All_TO!O$6)</f>
        <v xml:space="preserve">2015 (F) </v>
      </c>
      <c r="V46" s="334" t="s">
        <v>432</v>
      </c>
      <c r="W46" s="334"/>
      <c r="X46" s="334"/>
      <c r="Y46" s="334"/>
      <c r="Z46" s="334"/>
      <c r="AA46" s="334"/>
      <c r="AB46" s="334"/>
      <c r="AC46" s="334"/>
      <c r="AD46" s="334"/>
      <c r="AE46" s="334"/>
      <c r="AF46" s="334"/>
      <c r="AG46" s="334"/>
      <c r="AH46" s="334"/>
      <c r="AI46" s="334"/>
      <c r="AJ46" s="334"/>
      <c r="AK46" s="334"/>
      <c r="AL46" s="334"/>
      <c r="AM46" s="334"/>
      <c r="AQ46" s="5" t="str">
        <f>AQ20</f>
        <v>Cost of Goods Sold (Historical)</v>
      </c>
      <c r="AX46" s="96">
        <f>-AX20</f>
        <v>-25</v>
      </c>
      <c r="AY46" s="96">
        <f t="shared" ref="AY46:BE46" si="10">-AY20</f>
        <v>-25.624999999999996</v>
      </c>
      <c r="AZ46" s="96">
        <f t="shared" si="10"/>
        <v>-26.265624999999993</v>
      </c>
      <c r="BA46" s="96">
        <f t="shared" si="10"/>
        <v>0</v>
      </c>
      <c r="BB46" s="96">
        <f t="shared" si="10"/>
        <v>0</v>
      </c>
      <c r="BC46" s="96">
        <f t="shared" si="10"/>
        <v>0</v>
      </c>
      <c r="BD46" s="96">
        <f t="shared" si="10"/>
        <v>0</v>
      </c>
      <c r="BE46" s="96">
        <f t="shared" si="10"/>
        <v>0</v>
      </c>
    </row>
    <row r="47" spans="2:57">
      <c r="B47" s="149"/>
      <c r="C47" s="149"/>
      <c r="D47" s="149"/>
      <c r="E47" s="149"/>
      <c r="F47" s="149"/>
      <c r="G47" s="149"/>
      <c r="H47" s="149"/>
      <c r="I47" s="149"/>
      <c r="J47" s="149"/>
      <c r="K47" s="149"/>
      <c r="L47" s="149"/>
      <c r="M47" s="149"/>
      <c r="N47" s="149"/>
      <c r="O47" s="149"/>
      <c r="P47" s="149"/>
      <c r="Q47" s="149"/>
      <c r="R47" s="149"/>
      <c r="S47" s="149"/>
      <c r="V47" s="167"/>
      <c r="W47" s="167"/>
      <c r="X47" s="167"/>
      <c r="Y47" s="167"/>
      <c r="Z47" s="167"/>
      <c r="AA47" s="167"/>
      <c r="AB47" s="167"/>
      <c r="AC47" s="167"/>
      <c r="AD47" s="167"/>
      <c r="AE47" s="167"/>
      <c r="AF47" s="167"/>
      <c r="AG47" s="167"/>
      <c r="AH47" s="167"/>
      <c r="AI47" s="167"/>
      <c r="AJ47" s="167"/>
      <c r="AK47" s="167"/>
      <c r="AL47" s="167"/>
      <c r="AM47" s="167"/>
      <c r="AQ47" s="5" t="str">
        <f>AQ27</f>
        <v>Operating Expenditure (Historical)</v>
      </c>
      <c r="AX47" s="96">
        <f>-AX27</f>
        <v>-40</v>
      </c>
      <c r="AY47" s="96">
        <f t="shared" ref="AY47:BE47" si="11">-AY27</f>
        <v>-41</v>
      </c>
      <c r="AZ47" s="96">
        <f t="shared" si="11"/>
        <v>-42.024999999999999</v>
      </c>
      <c r="BA47" s="96">
        <f t="shared" si="11"/>
        <v>0</v>
      </c>
      <c r="BB47" s="96">
        <f t="shared" si="11"/>
        <v>0</v>
      </c>
      <c r="BC47" s="96">
        <f t="shared" si="11"/>
        <v>0</v>
      </c>
      <c r="BD47" s="96">
        <f t="shared" si="11"/>
        <v>0</v>
      </c>
      <c r="BE47" s="96">
        <f t="shared" si="11"/>
        <v>0</v>
      </c>
    </row>
    <row r="48" spans="2:57">
      <c r="B48" s="152" t="s">
        <v>238</v>
      </c>
      <c r="C48" s="149"/>
      <c r="D48" s="149"/>
      <c r="E48" s="149"/>
      <c r="F48" s="149"/>
      <c r="G48" s="149"/>
      <c r="H48" s="149"/>
      <c r="I48" s="149"/>
      <c r="J48" s="149"/>
      <c r="K48" s="149"/>
      <c r="L48" s="149"/>
      <c r="M48" s="149"/>
      <c r="N48" s="153">
        <f>CFS_All_TO!J22</f>
        <v>135.72602739726028</v>
      </c>
      <c r="O48" s="153">
        <f>CFS_All_TO!K22</f>
        <v>127.86815068493149</v>
      </c>
      <c r="P48" s="153">
        <f>CFS_All_TO!L22</f>
        <v>131.09434650797215</v>
      </c>
      <c r="Q48" s="153">
        <f ca="1">CFS_All_TO!M22</f>
        <v>134.31198375743881</v>
      </c>
      <c r="R48" s="153">
        <f>CFS_All_TO!N22</f>
        <v>137.70001270869005</v>
      </c>
      <c r="S48" s="153">
        <f>CFS_All_TO!O22</f>
        <v>141.1425130264073</v>
      </c>
      <c r="V48" s="167"/>
      <c r="W48" s="167"/>
      <c r="X48" s="167"/>
      <c r="Y48" s="167"/>
      <c r="Z48" s="167"/>
      <c r="AA48" s="167"/>
      <c r="AB48" s="167"/>
      <c r="AC48" s="167"/>
      <c r="AD48" s="167"/>
      <c r="AE48" s="167"/>
      <c r="AF48" s="167"/>
      <c r="AG48" s="167"/>
      <c r="AH48" s="167"/>
      <c r="AI48" s="167"/>
      <c r="AJ48" s="167"/>
      <c r="AK48" s="167"/>
      <c r="AL48" s="167"/>
      <c r="AM48" s="167"/>
      <c r="AQ48" s="5" t="str">
        <f>AQ14</f>
        <v>Revenue (Forecast)</v>
      </c>
      <c r="AX48" s="96">
        <f>AX14</f>
        <v>0</v>
      </c>
      <c r="AY48" s="96">
        <f t="shared" ref="AY48:BE48" si="12">AY14</f>
        <v>0</v>
      </c>
      <c r="AZ48" s="96">
        <f t="shared" si="12"/>
        <v>0</v>
      </c>
      <c r="BA48" s="96">
        <f t="shared" si="12"/>
        <v>134.611328125</v>
      </c>
      <c r="BB48" s="96">
        <f t="shared" si="12"/>
        <v>137.97661132812499</v>
      </c>
      <c r="BC48" s="96">
        <f t="shared" si="12"/>
        <v>141.4260266113281</v>
      </c>
      <c r="BD48" s="96">
        <f t="shared" si="12"/>
        <v>144.96167727661128</v>
      </c>
      <c r="BE48" s="96">
        <f t="shared" si="12"/>
        <v>148.58571920852654</v>
      </c>
    </row>
    <row r="49" spans="2:57">
      <c r="B49" s="152" t="s">
        <v>243</v>
      </c>
      <c r="C49" s="149"/>
      <c r="D49" s="149"/>
      <c r="E49" s="149"/>
      <c r="F49" s="149"/>
      <c r="G49" s="149"/>
      <c r="H49" s="149"/>
      <c r="I49" s="149"/>
      <c r="J49" s="149"/>
      <c r="K49" s="149"/>
      <c r="L49" s="149"/>
      <c r="M49" s="149"/>
      <c r="N49" s="153">
        <f>CFS_All_TO!J26</f>
        <v>-72.986301369863014</v>
      </c>
      <c r="O49" s="153">
        <f>CFS_All_TO!K26</f>
        <v>-66.424657534246577</v>
      </c>
      <c r="P49" s="153">
        <f>CFS_All_TO!L26</f>
        <v>-68.108277776218273</v>
      </c>
      <c r="Q49" s="153">
        <f ca="1">CFS_All_TO!M26</f>
        <v>-69.764402018302249</v>
      </c>
      <c r="R49" s="153">
        <f>CFS_All_TO!N26</f>
        <v>-71.532090967465734</v>
      </c>
      <c r="S49" s="153">
        <f>CFS_All_TO!O26</f>
        <v>-73.320393241652368</v>
      </c>
      <c r="V49" s="167"/>
      <c r="W49" s="167"/>
      <c r="X49" s="167"/>
      <c r="Y49" s="167"/>
      <c r="Z49" s="167"/>
      <c r="AA49" s="167"/>
      <c r="AB49" s="167"/>
      <c r="AC49" s="167"/>
      <c r="AD49" s="167"/>
      <c r="AE49" s="167"/>
      <c r="AF49" s="167"/>
      <c r="AG49" s="167"/>
      <c r="AH49" s="167"/>
      <c r="AI49" s="167"/>
      <c r="AJ49" s="167"/>
      <c r="AK49" s="167"/>
      <c r="AL49" s="167"/>
      <c r="AM49" s="167"/>
      <c r="AQ49" s="5" t="str">
        <f>AQ21</f>
        <v>Cost of Goods Sold (Forecast)</v>
      </c>
      <c r="AX49" s="96">
        <f>-AX21</f>
        <v>0</v>
      </c>
      <c r="AY49" s="96">
        <f t="shared" ref="AY49:BE49" si="13">-AY21</f>
        <v>0</v>
      </c>
      <c r="AZ49" s="96">
        <f t="shared" si="13"/>
        <v>0</v>
      </c>
      <c r="BA49" s="96">
        <f t="shared" si="13"/>
        <v>-26.922265624999991</v>
      </c>
      <c r="BB49" s="96">
        <f t="shared" si="13"/>
        <v>-27.59532226562499</v>
      </c>
      <c r="BC49" s="96">
        <f t="shared" si="13"/>
        <v>-28.285205322265611</v>
      </c>
      <c r="BD49" s="96">
        <f t="shared" si="13"/>
        <v>-28.992335455322248</v>
      </c>
      <c r="BE49" s="96">
        <f t="shared" si="13"/>
        <v>-29.717143841705301</v>
      </c>
    </row>
    <row r="50" spans="2:57">
      <c r="B50" s="152" t="s">
        <v>440</v>
      </c>
      <c r="C50" s="149"/>
      <c r="D50" s="149"/>
      <c r="E50" s="149"/>
      <c r="F50" s="149"/>
      <c r="G50" s="149"/>
      <c r="H50" s="149"/>
      <c r="I50" s="149"/>
      <c r="J50" s="149"/>
      <c r="K50" s="149"/>
      <c r="L50" s="149"/>
      <c r="M50" s="149"/>
      <c r="N50" s="153">
        <f>N51-SUM(N48:N49)</f>
        <v>-6.75</v>
      </c>
      <c r="O50" s="153">
        <f t="shared" ref="O50:S50" si="14">O51-SUM(O48:O49)</f>
        <v>-16.037500000000001</v>
      </c>
      <c r="P50" s="153">
        <f t="shared" si="14"/>
        <v>-16.381562500000001</v>
      </c>
      <c r="Q50" s="153">
        <f t="shared" ca="1" si="14"/>
        <v>-16.734226562500005</v>
      </c>
      <c r="R50" s="153">
        <f t="shared" ca="1" si="14"/>
        <v>-17.258207226562504</v>
      </c>
      <c r="S50" s="153">
        <f t="shared" ca="1" si="14"/>
        <v>-17.742474907226566</v>
      </c>
      <c r="V50" s="167"/>
      <c r="W50" s="167"/>
      <c r="X50" s="167"/>
      <c r="Y50" s="167"/>
      <c r="Z50" s="167"/>
      <c r="AA50" s="167"/>
      <c r="AB50" s="167"/>
      <c r="AC50" s="167"/>
      <c r="AD50" s="167"/>
      <c r="AE50" s="167"/>
      <c r="AF50" s="167"/>
      <c r="AG50" s="167"/>
      <c r="AH50" s="167"/>
      <c r="AI50" s="167"/>
      <c r="AJ50" s="167"/>
      <c r="AK50" s="167"/>
      <c r="AL50" s="167"/>
      <c r="AM50" s="167"/>
      <c r="AQ50" s="5" t="str">
        <f>AQ28</f>
        <v>Operating Expenditure (Forecast)</v>
      </c>
      <c r="AX50" s="96">
        <f>-AX28</f>
        <v>0</v>
      </c>
      <c r="AY50" s="96">
        <f t="shared" ref="AY50:BE50" si="15">-AY28</f>
        <v>0</v>
      </c>
      <c r="AZ50" s="96">
        <f t="shared" si="15"/>
        <v>0</v>
      </c>
      <c r="BA50" s="96">
        <f t="shared" si="15"/>
        <v>-43.075624999999995</v>
      </c>
      <c r="BB50" s="96">
        <f t="shared" si="15"/>
        <v>-44.152515624999992</v>
      </c>
      <c r="BC50" s="96">
        <f t="shared" si="15"/>
        <v>-45.256328515624986</v>
      </c>
      <c r="BD50" s="96">
        <f t="shared" si="15"/>
        <v>-46.387736728515605</v>
      </c>
      <c r="BE50" s="96">
        <f t="shared" si="15"/>
        <v>-47.547430146728495</v>
      </c>
    </row>
    <row r="51" spans="2:57">
      <c r="B51" s="156" t="s">
        <v>434</v>
      </c>
      <c r="C51" s="149"/>
      <c r="D51" s="149"/>
      <c r="E51" s="149"/>
      <c r="F51" s="149"/>
      <c r="G51" s="149"/>
      <c r="H51" s="149"/>
      <c r="I51" s="149"/>
      <c r="J51" s="149"/>
      <c r="K51" s="149"/>
      <c r="L51" s="149"/>
      <c r="M51" s="149"/>
      <c r="N51" s="157">
        <f>CFS_All_TO!J31</f>
        <v>55.989726027397268</v>
      </c>
      <c r="O51" s="157">
        <f>CFS_All_TO!K31</f>
        <v>45.405993150684914</v>
      </c>
      <c r="P51" s="157">
        <f>CFS_All_TO!L31</f>
        <v>46.604506231753874</v>
      </c>
      <c r="Q51" s="157">
        <f ca="1">CFS_All_TO!M31</f>
        <v>47.813355176636556</v>
      </c>
      <c r="R51" s="157">
        <f ca="1">CFS_All_TO!N31</f>
        <v>48.909714514661815</v>
      </c>
      <c r="S51" s="157">
        <f ca="1">CFS_All_TO!O31</f>
        <v>50.079644877528366</v>
      </c>
      <c r="V51" s="167"/>
      <c r="W51" s="167"/>
      <c r="X51" s="167"/>
      <c r="Y51" s="167"/>
      <c r="Z51" s="167"/>
      <c r="AA51" s="167"/>
      <c r="AB51" s="167"/>
      <c r="AC51" s="167"/>
      <c r="AD51" s="167"/>
      <c r="AE51" s="167"/>
      <c r="AF51" s="167"/>
      <c r="AG51" s="167"/>
      <c r="AH51" s="167"/>
      <c r="AI51" s="167"/>
      <c r="AJ51" s="167"/>
      <c r="AK51" s="167"/>
      <c r="AL51" s="167"/>
      <c r="AM51" s="167"/>
      <c r="AQ51" s="5" t="str">
        <f>IS_Fcast_TO!$C$25</f>
        <v>EBITDA</v>
      </c>
      <c r="AX51" s="96">
        <f>IS_Hist_TO!J25+IS_Fcast_TO!J25</f>
        <v>60</v>
      </c>
      <c r="AY51" s="96">
        <f>IS_Hist_TO!K25+IS_Fcast_TO!K25</f>
        <v>61.5</v>
      </c>
      <c r="AZ51" s="96">
        <f>IS_Hist_TO!L25+IS_Fcast_TO!L25</f>
        <v>63.037500000000001</v>
      </c>
      <c r="BA51" s="96">
        <f>IS_Hist_TO!M25+IS_Fcast_TO!M25</f>
        <v>64.613437500000003</v>
      </c>
      <c r="BB51" s="96">
        <f>IS_Hist_TO!N25+IS_Fcast_TO!N25</f>
        <v>66.22877343750001</v>
      </c>
      <c r="BC51" s="96">
        <f>IS_Hist_TO!O25+IS_Fcast_TO!O25</f>
        <v>67.884492773437501</v>
      </c>
      <c r="BD51" s="96">
        <f>IS_Hist_TO!P25+IS_Fcast_TO!P25</f>
        <v>69.58160509277343</v>
      </c>
      <c r="BE51" s="96">
        <f>IS_Hist_TO!Q25+IS_Fcast_TO!Q25</f>
        <v>71.321145220092745</v>
      </c>
    </row>
    <row r="52" spans="2:57">
      <c r="B52" s="149"/>
      <c r="C52" s="149"/>
      <c r="D52" s="149"/>
      <c r="E52" s="149"/>
      <c r="F52" s="149"/>
      <c r="G52" s="149"/>
      <c r="H52" s="149"/>
      <c r="I52" s="149"/>
      <c r="J52" s="149"/>
      <c r="K52" s="149"/>
      <c r="L52" s="149"/>
      <c r="M52" s="149"/>
      <c r="N52" s="153"/>
      <c r="O52" s="153"/>
      <c r="P52" s="153"/>
      <c r="Q52" s="153"/>
      <c r="R52" s="153"/>
      <c r="S52" s="153"/>
      <c r="V52" s="167"/>
      <c r="W52" s="167"/>
      <c r="X52" s="167"/>
      <c r="Y52" s="167"/>
      <c r="Z52" s="167"/>
      <c r="AA52" s="167"/>
      <c r="AB52" s="167"/>
      <c r="AC52" s="167"/>
      <c r="AD52" s="167"/>
      <c r="AE52" s="167"/>
      <c r="AF52" s="167"/>
      <c r="AG52" s="167"/>
      <c r="AH52" s="167"/>
      <c r="AI52" s="167"/>
      <c r="AJ52" s="167"/>
      <c r="AK52" s="167"/>
      <c r="AL52" s="167"/>
      <c r="AM52" s="167"/>
    </row>
    <row r="53" spans="2:57">
      <c r="B53" s="152" t="s">
        <v>237</v>
      </c>
      <c r="C53" s="149"/>
      <c r="D53" s="149"/>
      <c r="E53" s="149"/>
      <c r="F53" s="149"/>
      <c r="G53" s="149"/>
      <c r="H53" s="149"/>
      <c r="I53" s="149"/>
      <c r="J53" s="149"/>
      <c r="K53" s="149"/>
      <c r="L53" s="149"/>
      <c r="M53" s="149"/>
      <c r="N53" s="153">
        <f>SUM(CFS_All_TO!J35:J36)</f>
        <v>-17.5</v>
      </c>
      <c r="O53" s="153">
        <f>SUM(CFS_All_TO!K35:K36)</f>
        <v>-17.9375</v>
      </c>
      <c r="P53" s="153">
        <f>SUM(CFS_All_TO!L35:L36)</f>
        <v>-18.385937499999997</v>
      </c>
      <c r="Q53" s="153">
        <f>SUM(CFS_All_TO!M35:M36)</f>
        <v>-18.845585937499994</v>
      </c>
      <c r="R53" s="153">
        <f>SUM(CFS_All_TO!N35:N36)</f>
        <v>-19.31672558593749</v>
      </c>
      <c r="S53" s="153">
        <f>SUM(CFS_All_TO!O35:O36)</f>
        <v>-19.799643725585927</v>
      </c>
      <c r="V53" s="167"/>
      <c r="W53" s="167"/>
      <c r="X53" s="167"/>
      <c r="Y53" s="167"/>
      <c r="Z53" s="167"/>
      <c r="AA53" s="167"/>
      <c r="AB53" s="167"/>
      <c r="AC53" s="167"/>
      <c r="AD53" s="167"/>
      <c r="AE53" s="167"/>
      <c r="AF53" s="167"/>
      <c r="AG53" s="167"/>
      <c r="AH53" s="167"/>
      <c r="AI53" s="167"/>
      <c r="AJ53" s="167"/>
      <c r="AK53" s="167"/>
      <c r="AL53" s="167"/>
      <c r="AM53" s="167"/>
    </row>
    <row r="54" spans="2:57">
      <c r="B54" s="152" t="s">
        <v>498</v>
      </c>
      <c r="C54" s="149"/>
      <c r="D54" s="149"/>
      <c r="E54" s="149"/>
      <c r="F54" s="149"/>
      <c r="G54" s="149"/>
      <c r="H54" s="149"/>
      <c r="I54" s="149"/>
      <c r="J54" s="149"/>
      <c r="K54" s="149"/>
      <c r="L54" s="149"/>
      <c r="M54" s="149"/>
      <c r="N54" s="153">
        <f>SUM(CFS_All_TO!J37:J38)</f>
        <v>0</v>
      </c>
      <c r="O54" s="153">
        <f>SUM(CFS_All_TO!K37:K38)</f>
        <v>0</v>
      </c>
      <c r="P54" s="153">
        <f>SUM(CFS_All_TO!L37:L38)</f>
        <v>0</v>
      </c>
      <c r="Q54" s="153">
        <f ca="1">SUM(CFS_All_TO!M37:M38)</f>
        <v>0</v>
      </c>
      <c r="R54" s="153">
        <f>SUM(CFS_All_TO!N37:N38)</f>
        <v>0</v>
      </c>
      <c r="S54" s="153">
        <f>SUM(CFS_All_TO!O37:O38)</f>
        <v>0</v>
      </c>
      <c r="V54" s="167"/>
      <c r="W54" s="167"/>
      <c r="X54" s="167"/>
      <c r="Y54" s="167"/>
      <c r="Z54" s="167"/>
      <c r="AA54" s="167"/>
      <c r="AB54" s="167"/>
      <c r="AC54" s="167"/>
      <c r="AD54" s="167"/>
      <c r="AE54" s="167"/>
      <c r="AF54" s="167"/>
      <c r="AG54" s="167"/>
      <c r="AH54" s="167"/>
      <c r="AI54" s="167"/>
      <c r="AJ54" s="167"/>
      <c r="AK54" s="167"/>
      <c r="AL54" s="167"/>
      <c r="AM54" s="167"/>
    </row>
    <row r="55" spans="2:57">
      <c r="B55" s="156" t="s">
        <v>435</v>
      </c>
      <c r="C55" s="149"/>
      <c r="D55" s="149"/>
      <c r="E55" s="149"/>
      <c r="F55" s="149"/>
      <c r="G55" s="149"/>
      <c r="H55" s="149"/>
      <c r="I55" s="149"/>
      <c r="J55" s="149"/>
      <c r="K55" s="149"/>
      <c r="L55" s="149"/>
      <c r="M55" s="149"/>
      <c r="N55" s="157">
        <f>SUM(N53:N54)</f>
        <v>-17.5</v>
      </c>
      <c r="O55" s="157">
        <f t="shared" ref="O55:S55" si="16">SUM(O53:O54)</f>
        <v>-17.9375</v>
      </c>
      <c r="P55" s="157">
        <f t="shared" si="16"/>
        <v>-18.385937499999997</v>
      </c>
      <c r="Q55" s="157">
        <f t="shared" ca="1" si="16"/>
        <v>-18.845585937499994</v>
      </c>
      <c r="R55" s="157">
        <f t="shared" si="16"/>
        <v>-19.31672558593749</v>
      </c>
      <c r="S55" s="157">
        <f t="shared" si="16"/>
        <v>-19.799643725585927</v>
      </c>
      <c r="V55" s="167"/>
      <c r="W55" s="167"/>
      <c r="X55" s="167"/>
      <c r="Y55" s="167"/>
      <c r="Z55" s="167"/>
      <c r="AA55" s="167"/>
      <c r="AB55" s="167"/>
      <c r="AC55" s="167"/>
      <c r="AD55" s="167"/>
      <c r="AE55" s="167"/>
      <c r="AF55" s="167"/>
      <c r="AG55" s="167"/>
      <c r="AH55" s="167"/>
      <c r="AI55" s="167"/>
      <c r="AJ55" s="167"/>
      <c r="AK55" s="167"/>
      <c r="AL55" s="167"/>
      <c r="AM55" s="167"/>
    </row>
    <row r="56" spans="2:57">
      <c r="B56" s="149"/>
      <c r="C56" s="149"/>
      <c r="D56" s="149"/>
      <c r="E56" s="149"/>
      <c r="F56" s="149"/>
      <c r="G56" s="149"/>
      <c r="H56" s="149"/>
      <c r="I56" s="149"/>
      <c r="J56" s="149"/>
      <c r="K56" s="149"/>
      <c r="L56" s="149"/>
      <c r="M56" s="149"/>
      <c r="N56" s="153"/>
      <c r="O56" s="153"/>
      <c r="P56" s="153"/>
      <c r="Q56" s="153"/>
      <c r="R56" s="153"/>
      <c r="S56" s="153"/>
      <c r="V56" s="167"/>
      <c r="W56" s="167"/>
      <c r="X56" s="167"/>
      <c r="Y56" s="167"/>
      <c r="Z56" s="167"/>
      <c r="AA56" s="167"/>
      <c r="AB56" s="167"/>
      <c r="AC56" s="167"/>
      <c r="AD56" s="167"/>
      <c r="AE56" s="167"/>
      <c r="AF56" s="167"/>
      <c r="AG56" s="167"/>
      <c r="AH56" s="167"/>
      <c r="AI56" s="167"/>
      <c r="AJ56" s="167"/>
      <c r="AK56" s="167"/>
      <c r="AL56" s="167"/>
      <c r="AM56" s="167"/>
    </row>
    <row r="57" spans="2:57">
      <c r="B57" s="152" t="s">
        <v>436</v>
      </c>
      <c r="C57" s="149"/>
      <c r="D57" s="149"/>
      <c r="E57" s="149"/>
      <c r="F57" s="149"/>
      <c r="G57" s="149"/>
      <c r="H57" s="149"/>
      <c r="I57" s="149"/>
      <c r="J57" s="149"/>
      <c r="K57" s="149"/>
      <c r="L57" s="149"/>
      <c r="M57" s="149"/>
      <c r="N57" s="153">
        <f>SUM(CFS_All_TO!J43:J44)</f>
        <v>0</v>
      </c>
      <c r="O57" s="153">
        <f>SUM(CFS_All_TO!K43:K44)</f>
        <v>0</v>
      </c>
      <c r="P57" s="153">
        <f>SUM(CFS_All_TO!L43:L44)</f>
        <v>0</v>
      </c>
      <c r="Q57" s="153">
        <f>SUM(CFS_All_TO!M43:M44)</f>
        <v>0</v>
      </c>
      <c r="R57" s="153">
        <f>SUM(CFS_All_TO!N43:N44)</f>
        <v>5</v>
      </c>
      <c r="S57" s="153">
        <f>SUM(CFS_All_TO!O43:O44)</f>
        <v>0</v>
      </c>
      <c r="V57" s="167"/>
      <c r="W57" s="167"/>
      <c r="X57" s="167"/>
      <c r="Y57" s="167"/>
      <c r="Z57" s="167"/>
      <c r="AA57" s="167"/>
      <c r="AB57" s="167"/>
      <c r="AC57" s="167"/>
      <c r="AD57" s="167"/>
      <c r="AE57" s="167"/>
      <c r="AF57" s="167"/>
      <c r="AG57" s="167"/>
      <c r="AH57" s="167"/>
      <c r="AI57" s="167"/>
      <c r="AJ57" s="167"/>
      <c r="AK57" s="167"/>
      <c r="AL57" s="167"/>
      <c r="AM57" s="167"/>
    </row>
    <row r="58" spans="2:57">
      <c r="B58" s="152" t="s">
        <v>437</v>
      </c>
      <c r="C58" s="149"/>
      <c r="D58" s="149"/>
      <c r="E58" s="149"/>
      <c r="F58" s="149"/>
      <c r="G58" s="149"/>
      <c r="H58" s="149"/>
      <c r="I58" s="149"/>
      <c r="J58" s="149"/>
      <c r="K58" s="149"/>
      <c r="L58" s="149"/>
      <c r="M58" s="149"/>
      <c r="N58" s="153">
        <f>SUM(CFS_All_TO!J45:J46)</f>
        <v>0</v>
      </c>
      <c r="O58" s="153">
        <f>SUM(CFS_All_TO!K45:K46)</f>
        <v>0</v>
      </c>
      <c r="P58" s="153">
        <f>SUM(CFS_All_TO!L45:L46)</f>
        <v>0</v>
      </c>
      <c r="Q58" s="153">
        <f>SUM(CFS_All_TO!M45:M46)</f>
        <v>0</v>
      </c>
      <c r="R58" s="153">
        <f>SUM(CFS_All_TO!N45:N46)</f>
        <v>0</v>
      </c>
      <c r="S58" s="153">
        <f>SUM(CFS_All_TO!O45:O46)</f>
        <v>0</v>
      </c>
      <c r="V58" s="167"/>
      <c r="W58" s="167"/>
      <c r="X58" s="167"/>
      <c r="Y58" s="167"/>
      <c r="Z58" s="167"/>
      <c r="AA58" s="167"/>
      <c r="AB58" s="167"/>
      <c r="AC58" s="167"/>
      <c r="AD58" s="167"/>
      <c r="AE58" s="167"/>
      <c r="AF58" s="167"/>
      <c r="AG58" s="167"/>
      <c r="AH58" s="167"/>
      <c r="AI58" s="167"/>
      <c r="AJ58" s="167"/>
      <c r="AK58" s="167"/>
      <c r="AL58" s="167"/>
      <c r="AM58" s="167"/>
    </row>
    <row r="59" spans="2:57">
      <c r="B59" s="152" t="s">
        <v>438</v>
      </c>
      <c r="C59" s="149"/>
      <c r="D59" s="149"/>
      <c r="E59" s="149"/>
      <c r="F59" s="149"/>
      <c r="G59" s="149"/>
      <c r="H59" s="149"/>
      <c r="I59" s="149"/>
      <c r="J59" s="149"/>
      <c r="K59" s="149"/>
      <c r="L59" s="149"/>
      <c r="M59" s="149"/>
      <c r="N59" s="153">
        <f>CFS_All_TO!J47</f>
        <v>-14.918749999999999</v>
      </c>
      <c r="O59" s="153">
        <f>CFS_All_TO!K47</f>
        <v>-15.32015625</v>
      </c>
      <c r="P59" s="153">
        <f>CFS_All_TO!L47</f>
        <v>-15.731597656250003</v>
      </c>
      <c r="Q59" s="153">
        <f ca="1">CFS_All_TO!M47</f>
        <v>-16.153325097656253</v>
      </c>
      <c r="R59" s="153">
        <f ca="1">CFS_All_TO!N47</f>
        <v>-16.528720725097664</v>
      </c>
      <c r="S59" s="153">
        <f ca="1">CFS_All_TO!O47</f>
        <v>-16.914923118225101</v>
      </c>
      <c r="V59" s="167"/>
      <c r="W59" s="167"/>
      <c r="X59" s="167"/>
      <c r="Y59" s="167"/>
      <c r="Z59" s="167"/>
      <c r="AA59" s="167"/>
      <c r="AB59" s="167"/>
      <c r="AC59" s="167"/>
      <c r="AD59" s="167"/>
      <c r="AE59" s="167"/>
      <c r="AF59" s="167"/>
      <c r="AG59" s="167"/>
      <c r="AH59" s="167"/>
      <c r="AI59" s="167"/>
      <c r="AJ59" s="167"/>
      <c r="AK59" s="167"/>
      <c r="AL59" s="167"/>
      <c r="AM59" s="167"/>
    </row>
    <row r="60" spans="2:57">
      <c r="B60" s="152" t="s">
        <v>566</v>
      </c>
      <c r="C60" s="149"/>
      <c r="D60" s="149"/>
      <c r="E60" s="149"/>
      <c r="F60" s="149"/>
      <c r="G60" s="149"/>
      <c r="H60" s="149"/>
      <c r="I60" s="149"/>
      <c r="J60" s="149"/>
      <c r="K60" s="149"/>
      <c r="L60" s="149"/>
      <c r="M60" s="149"/>
      <c r="N60" s="153">
        <f>CFS_All_TO!J48</f>
        <v>0.1</v>
      </c>
      <c r="O60" s="153">
        <f>CFS_All_TO!K48</f>
        <v>0.1</v>
      </c>
      <c r="P60" s="153">
        <f>CFS_All_TO!L48</f>
        <v>0.1</v>
      </c>
      <c r="Q60" s="153">
        <f ca="1">CFS_All_TO!M48</f>
        <v>0.39999999999999858</v>
      </c>
      <c r="R60" s="153">
        <f>CFS_All_TO!N48</f>
        <v>9.9999999999999645E-2</v>
      </c>
      <c r="S60" s="153">
        <f>CFS_All_TO!O48</f>
        <v>9.9999999999999645E-2</v>
      </c>
      <c r="V60" s="167"/>
      <c r="W60" s="167"/>
      <c r="X60" s="167"/>
      <c r="Y60" s="167"/>
      <c r="Z60" s="167"/>
      <c r="AA60" s="167"/>
      <c r="AB60" s="167"/>
      <c r="AC60" s="167"/>
      <c r="AD60" s="167"/>
      <c r="AE60" s="167"/>
      <c r="AF60" s="167"/>
      <c r="AG60" s="167"/>
      <c r="AH60" s="167"/>
      <c r="AI60" s="167"/>
      <c r="AJ60" s="167"/>
      <c r="AK60" s="167"/>
      <c r="AL60" s="167"/>
      <c r="AM60" s="167"/>
    </row>
    <row r="61" spans="2:57">
      <c r="B61" s="156" t="s">
        <v>439</v>
      </c>
      <c r="C61" s="149"/>
      <c r="D61" s="149"/>
      <c r="E61" s="149"/>
      <c r="F61" s="149"/>
      <c r="G61" s="149"/>
      <c r="H61" s="149"/>
      <c r="I61" s="149"/>
      <c r="J61" s="149"/>
      <c r="K61" s="149"/>
      <c r="L61" s="149"/>
      <c r="M61" s="149"/>
      <c r="N61" s="157">
        <f>SUM(N57:N60)</f>
        <v>-14.81875</v>
      </c>
      <c r="O61" s="157">
        <f t="shared" ref="O61:S61" si="17">SUM(O57:O60)</f>
        <v>-15.22015625</v>
      </c>
      <c r="P61" s="157">
        <f t="shared" si="17"/>
        <v>-15.631597656250003</v>
      </c>
      <c r="Q61" s="157">
        <f t="shared" ca="1" si="17"/>
        <v>-15.753325097656255</v>
      </c>
      <c r="R61" s="157">
        <f t="shared" ca="1" si="17"/>
        <v>-11.428720725097664</v>
      </c>
      <c r="S61" s="157">
        <f t="shared" ca="1" si="17"/>
        <v>-16.814923118225103</v>
      </c>
      <c r="V61" s="167"/>
      <c r="W61" s="167"/>
      <c r="X61" s="167"/>
      <c r="Y61" s="167"/>
      <c r="Z61" s="167"/>
      <c r="AA61" s="167"/>
      <c r="AB61" s="167"/>
      <c r="AC61" s="167"/>
      <c r="AD61" s="167"/>
      <c r="AE61" s="167"/>
      <c r="AF61" s="167"/>
      <c r="AG61" s="167"/>
      <c r="AH61" s="167"/>
      <c r="AI61" s="167"/>
      <c r="AJ61" s="167"/>
      <c r="AK61" s="167"/>
      <c r="AL61" s="167"/>
      <c r="AM61" s="167"/>
    </row>
    <row r="62" spans="2:57">
      <c r="B62" s="149"/>
      <c r="C62" s="149"/>
      <c r="D62" s="149"/>
      <c r="E62" s="149"/>
      <c r="F62" s="149"/>
      <c r="G62" s="149"/>
      <c r="H62" s="149"/>
      <c r="I62" s="149"/>
      <c r="J62" s="149"/>
      <c r="K62" s="149"/>
      <c r="L62" s="149"/>
      <c r="M62" s="149"/>
      <c r="N62" s="153"/>
      <c r="O62" s="153"/>
      <c r="P62" s="153"/>
      <c r="Q62" s="153"/>
      <c r="R62" s="153"/>
      <c r="S62" s="153"/>
      <c r="V62" s="167"/>
      <c r="W62" s="167"/>
      <c r="X62" s="167"/>
      <c r="Y62" s="167"/>
      <c r="Z62" s="167"/>
      <c r="AA62" s="167"/>
      <c r="AB62" s="167"/>
      <c r="AC62" s="167"/>
      <c r="AD62" s="167"/>
      <c r="AE62" s="167"/>
      <c r="AF62" s="167"/>
      <c r="AG62" s="167"/>
      <c r="AH62" s="167"/>
      <c r="AI62" s="167"/>
      <c r="AJ62" s="167"/>
      <c r="AK62" s="167"/>
      <c r="AL62" s="167"/>
      <c r="AM62" s="167"/>
    </row>
    <row r="63" spans="2:57" ht="11.25" thickBot="1">
      <c r="B63" s="156" t="s">
        <v>441</v>
      </c>
      <c r="C63" s="149"/>
      <c r="D63" s="149"/>
      <c r="E63" s="149"/>
      <c r="F63" s="149"/>
      <c r="G63" s="149"/>
      <c r="H63" s="149"/>
      <c r="I63" s="149"/>
      <c r="J63" s="149"/>
      <c r="K63" s="149"/>
      <c r="L63" s="149"/>
      <c r="M63" s="149"/>
      <c r="N63" s="155">
        <f t="shared" ref="N63:S63" si="18">N51+N55+N61</f>
        <v>23.670976027397266</v>
      </c>
      <c r="O63" s="155">
        <f t="shared" si="18"/>
        <v>12.248336900684913</v>
      </c>
      <c r="P63" s="155">
        <f t="shared" si="18"/>
        <v>12.586971075503874</v>
      </c>
      <c r="Q63" s="155">
        <f t="shared" ca="1" si="18"/>
        <v>13.214444141480307</v>
      </c>
      <c r="R63" s="155">
        <f t="shared" ca="1" si="18"/>
        <v>18.164268203626662</v>
      </c>
      <c r="S63" s="155">
        <f t="shared" ca="1" si="18"/>
        <v>13.465078033717337</v>
      </c>
      <c r="V63" s="167"/>
      <c r="W63" s="167"/>
      <c r="X63" s="167"/>
      <c r="Y63" s="167"/>
      <c r="Z63" s="167"/>
      <c r="AA63" s="167"/>
      <c r="AB63" s="167"/>
      <c r="AC63" s="167"/>
      <c r="AD63" s="167"/>
      <c r="AE63" s="167"/>
      <c r="AF63" s="167"/>
      <c r="AG63" s="167"/>
      <c r="AH63" s="167"/>
      <c r="AI63" s="167"/>
      <c r="AJ63" s="167"/>
      <c r="AK63" s="167"/>
      <c r="AL63" s="167"/>
      <c r="AM63" s="167"/>
    </row>
    <row r="64" spans="2:57" ht="11.25" thickTop="1">
      <c r="V64" s="167"/>
      <c r="W64" s="167"/>
      <c r="X64" s="167"/>
      <c r="Y64" s="167"/>
      <c r="Z64" s="167"/>
      <c r="AA64" s="167"/>
      <c r="AB64" s="167"/>
      <c r="AC64" s="167"/>
      <c r="AD64" s="167"/>
      <c r="AE64" s="167"/>
      <c r="AF64" s="167"/>
      <c r="AG64" s="167"/>
      <c r="AH64" s="167"/>
      <c r="AI64" s="167"/>
      <c r="AJ64" s="167"/>
      <c r="AK64" s="167"/>
      <c r="AL64" s="167"/>
      <c r="AM64" s="167"/>
    </row>
    <row r="74" spans="43:50">
      <c r="AQ74" s="5"/>
      <c r="AX74" s="95"/>
    </row>
  </sheetData>
  <mergeCells count="17">
    <mergeCell ref="V46:AM46"/>
    <mergeCell ref="B7:S7"/>
    <mergeCell ref="B3:K3"/>
    <mergeCell ref="AZ35:AZ36"/>
    <mergeCell ref="BA35:BA36"/>
    <mergeCell ref="B44:S44"/>
    <mergeCell ref="BB35:BB36"/>
    <mergeCell ref="AY35:AY36"/>
    <mergeCell ref="AX35:AX36"/>
    <mergeCell ref="B4:C4"/>
    <mergeCell ref="D4:E4"/>
    <mergeCell ref="F4:G4"/>
    <mergeCell ref="H4:I4"/>
    <mergeCell ref="J4:K4"/>
    <mergeCell ref="V7:AM7"/>
    <mergeCell ref="B24:S24"/>
    <mergeCell ref="V26:AM26"/>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8" t="s">
        <v>201</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461</v>
      </c>
    </row>
    <row r="18" spans="3:3">
      <c r="C18" s="27" t="s">
        <v>292</v>
      </c>
    </row>
    <row r="19" spans="3:3">
      <c r="C19" s="27" t="s">
        <v>293</v>
      </c>
    </row>
    <row r="20" spans="3:3">
      <c r="C20" s="27" t="s">
        <v>294</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515</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393</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2. Workbook Structure - Best Practice Model Example</v>
      </c>
    </row>
    <row r="3" spans="1:9">
      <c r="B3" s="279" t="s">
        <v>48</v>
      </c>
      <c r="C3" s="279"/>
      <c r="D3" s="279"/>
      <c r="E3" s="279"/>
      <c r="F3" s="279"/>
    </row>
    <row r="4" spans="1:9" ht="12.75">
      <c r="A4" s="11" t="s">
        <v>51</v>
      </c>
      <c r="B4" s="12" t="s">
        <v>53</v>
      </c>
      <c r="C4" s="13" t="s">
        <v>102</v>
      </c>
      <c r="D4" s="272" t="s">
        <v>205</v>
      </c>
      <c r="E4" s="272" t="s">
        <v>206</v>
      </c>
      <c r="F4" s="14" t="s">
        <v>207</v>
      </c>
    </row>
    <row r="7" spans="1:9" ht="12.75">
      <c r="B7" s="33" t="s">
        <v>225</v>
      </c>
    </row>
    <row r="9" spans="1:9" ht="17.25" customHeight="1">
      <c r="C9" s="68" t="b">
        <v>1</v>
      </c>
    </row>
    <row r="11" spans="1:9" ht="11.25">
      <c r="C11" s="34" t="s">
        <v>226</v>
      </c>
    </row>
    <row r="13" spans="1:9">
      <c r="D13" s="73" t="str">
        <f>D29</f>
        <v>Total Errors:</v>
      </c>
      <c r="I13" s="75">
        <f ca="1">Err_Chks_Ttl_Areas</f>
        <v>0</v>
      </c>
    </row>
    <row r="14" spans="1:9">
      <c r="D14" s="76" t="s">
        <v>229</v>
      </c>
      <c r="I14" s="77" t="str">
        <f ca="1">IF(OR(NOT(CB_Err_Chks_Show_Msg),Err_Chks_Ttl_Areas=0),"",IF(Err_Chks_Ttl_Areas=1," (Error in "&amp;INDEX(CA_Err_Chks_Area_Names,MATCH(1,CA_Err_Chks_Flags,0))&amp;")"," ("&amp;TEXT(Err_Chks_Ttl_Areas,"#,##0")&amp;" Errors Detected)"))</f>
        <v/>
      </c>
    </row>
    <row r="16" spans="1:9" ht="11.25">
      <c r="C16" s="34" t="s">
        <v>225</v>
      </c>
    </row>
    <row r="18" spans="2:13">
      <c r="D18" s="69" t="s">
        <v>225</v>
      </c>
      <c r="E18" s="18"/>
      <c r="F18" s="18"/>
      <c r="G18" s="18"/>
      <c r="H18" s="18"/>
      <c r="I18" s="18"/>
      <c r="J18" s="18"/>
      <c r="K18" s="70" t="s">
        <v>227</v>
      </c>
      <c r="L18" s="70" t="s">
        <v>228</v>
      </c>
      <c r="M18" s="70" t="s">
        <v>388</v>
      </c>
    </row>
    <row r="19" spans="2:13" s="16" customFormat="1">
      <c r="D19" s="78"/>
      <c r="E19" s="22"/>
      <c r="F19" s="22"/>
      <c r="G19" s="22"/>
      <c r="H19" s="22"/>
      <c r="I19" s="22"/>
      <c r="J19" s="22"/>
      <c r="K19" s="79"/>
      <c r="L19" s="79"/>
      <c r="M19" s="79"/>
    </row>
    <row r="20" spans="2:13">
      <c r="D20" s="266" t="str">
        <f>IF(ISERROR(Err_Chk_1_Hdg),"Miscellaneous Check",Err_Chk_1_Hdg)</f>
        <v>Accounts Receivable Balances ($Millions)</v>
      </c>
      <c r="E20" s="9"/>
      <c r="F20" s="9"/>
      <c r="G20" s="9"/>
      <c r="H20" s="9"/>
      <c r="I20" s="9"/>
      <c r="J20" s="9"/>
      <c r="K20" s="74">
        <f ca="1">IF(ISERROR(HL_Err_Chk_1),1,(HL_Err_Chk_1&lt;&gt;0)*1)</f>
        <v>0</v>
      </c>
      <c r="L20" s="67" t="s">
        <v>86</v>
      </c>
      <c r="M20" s="71">
        <f t="shared" ref="M20:M27" ca="1" si="0">K20*(L20="Yes")</f>
        <v>0</v>
      </c>
    </row>
    <row r="21" spans="2:13" s="16" customFormat="1">
      <c r="D21" s="266" t="str">
        <f>IF(ISERROR(Err_Chk_2_Hdg),"Miscellaneous Check",Err_Chk_2_Hdg)</f>
        <v>Accounts Payable Balances ($Millions)</v>
      </c>
      <c r="E21" s="9"/>
      <c r="F21" s="9"/>
      <c r="G21" s="9"/>
      <c r="H21" s="9"/>
      <c r="I21" s="9"/>
      <c r="J21" s="9"/>
      <c r="K21" s="74">
        <f ca="1">IF(ISERROR(HL_Err_Chk_2),1,(HL_Err_Chk_2&lt;&gt;0)*1)</f>
        <v>0</v>
      </c>
      <c r="L21" s="67" t="s">
        <v>86</v>
      </c>
      <c r="M21" s="71">
        <f t="shared" ca="1" si="0"/>
        <v>0</v>
      </c>
    </row>
    <row r="22" spans="2:13" s="16" customFormat="1">
      <c r="D22" s="266" t="str">
        <f>IF(ISERROR(Err_Chk_3_Hdg),"Miscellaneous Check",Err_Chk_3_Hdg)</f>
        <v>Assets Balances ($Millions)</v>
      </c>
      <c r="E22" s="9"/>
      <c r="F22" s="9"/>
      <c r="G22" s="9"/>
      <c r="H22" s="9"/>
      <c r="I22" s="9"/>
      <c r="J22" s="9"/>
      <c r="K22" s="74">
        <f ca="1">IF(ISERROR(HL_Err_Chk_3),1,(HL_Err_Chk_3&lt;&gt;0)*1)</f>
        <v>0</v>
      </c>
      <c r="L22" s="67" t="s">
        <v>86</v>
      </c>
      <c r="M22" s="71">
        <f t="shared" ca="1" si="0"/>
        <v>0</v>
      </c>
    </row>
    <row r="23" spans="2:13" s="16" customFormat="1">
      <c r="D23" s="266" t="str">
        <f>IF(ISERROR(Err_Chk_4_Hdg),"Miscellaneous Check",Err_Chk_4_Hdg)</f>
        <v>Intangibles Balances ($Millions)</v>
      </c>
      <c r="E23" s="9"/>
      <c r="F23" s="9"/>
      <c r="G23" s="9"/>
      <c r="H23" s="9"/>
      <c r="I23" s="9"/>
      <c r="J23" s="9"/>
      <c r="K23" s="74">
        <f ca="1">IF(ISERROR(HL_Err_Chk_4),1,(HL_Err_Chk_4&lt;&gt;0)*1)</f>
        <v>0</v>
      </c>
      <c r="L23" s="67" t="s">
        <v>86</v>
      </c>
      <c r="M23" s="71">
        <f t="shared" ca="1" si="0"/>
        <v>0</v>
      </c>
    </row>
    <row r="24" spans="2:13" s="16" customFormat="1">
      <c r="D24" s="266" t="str">
        <f>IF(ISERROR(Err_Chk_15_Hdg),"Miscellaneous Check",Err_Chk_15_Hdg)</f>
        <v>Ordinary Equity - Outputs</v>
      </c>
      <c r="E24" s="9"/>
      <c r="F24" s="9"/>
      <c r="G24" s="9"/>
      <c r="H24" s="9"/>
      <c r="I24" s="9"/>
      <c r="J24" s="9"/>
      <c r="K24" s="74">
        <f ca="1">IF(ISERROR(HL_Err_Chk_15),1,(HL_Err_Chk_15&lt;&gt;0)*1)</f>
        <v>0</v>
      </c>
      <c r="L24" s="67" t="s">
        <v>86</v>
      </c>
      <c r="M24" s="71">
        <f t="shared" ca="1" si="0"/>
        <v>0</v>
      </c>
    </row>
    <row r="25" spans="2:13" s="16" customFormat="1">
      <c r="D25" s="266" t="str">
        <f>IF(ISERROR(Err_Chk_11_Hdg),"Miscellaneous Check",Err_Chk_11_Hdg)</f>
        <v>Income Statement - Forecast Outputs</v>
      </c>
      <c r="E25" s="9"/>
      <c r="F25" s="9"/>
      <c r="G25" s="9"/>
      <c r="H25" s="9"/>
      <c r="I25" s="9"/>
      <c r="J25" s="9"/>
      <c r="K25" s="74">
        <f ca="1">IF(ISERROR(HL_Err_Chk_11),1,(HL_Err_Chk_11&lt;&gt;0)*1)</f>
        <v>0</v>
      </c>
      <c r="L25" s="67" t="s">
        <v>86</v>
      </c>
      <c r="M25" s="71">
        <f t="shared" ca="1" si="0"/>
        <v>0</v>
      </c>
    </row>
    <row r="26" spans="2:13" s="16" customFormat="1">
      <c r="D26" s="266" t="str">
        <f>IF(ISERROR(Err_Chk_13_Hdg),"Miscellaneous Check",Err_Chk_13_Hdg)</f>
        <v>Balance Sheet - Forecast Outputs</v>
      </c>
      <c r="E26" s="9"/>
      <c r="F26" s="9"/>
      <c r="G26" s="9"/>
      <c r="H26" s="9"/>
      <c r="I26" s="9"/>
      <c r="J26" s="9"/>
      <c r="K26" s="74">
        <f ca="1">IF(ISERROR(HL_Err_Chk_13),1,(HL_Err_Chk_13&lt;&gt;0)*1)</f>
        <v>0</v>
      </c>
      <c r="L26" s="67" t="s">
        <v>86</v>
      </c>
      <c r="M26" s="71">
        <f t="shared" ca="1" si="0"/>
        <v>0</v>
      </c>
    </row>
    <row r="27" spans="2:13" s="16" customFormat="1">
      <c r="D27" s="266" t="str">
        <f>IF(ISERROR(Err_Chk_14_Hdg),"Miscellaneous Check",Err_Chk_14_Hdg)</f>
        <v>Cash Flow Statement - Forecast Outputs</v>
      </c>
      <c r="E27" s="9"/>
      <c r="F27" s="9"/>
      <c r="G27" s="9"/>
      <c r="H27" s="9"/>
      <c r="I27" s="9"/>
      <c r="J27" s="9"/>
      <c r="K27" s="74">
        <f ca="1">IF(ISERROR(HL_Err_Chk_14),1,(HL_Err_Chk_14&lt;&gt;0)*1)</f>
        <v>0</v>
      </c>
      <c r="L27" s="67" t="s">
        <v>86</v>
      </c>
      <c r="M27" s="71">
        <f t="shared" ca="1" si="0"/>
        <v>0</v>
      </c>
    </row>
    <row r="28" spans="2:13" s="16" customFormat="1"/>
    <row r="29" spans="2:13">
      <c r="D29" s="26" t="s">
        <v>389</v>
      </c>
      <c r="M29" s="72">
        <f ca="1">SUMIF(CA_Err_Chks_Inc,"Yes",CA_Err_Chks_Flags)</f>
        <v>0</v>
      </c>
    </row>
    <row r="32" spans="2:13" ht="12.75">
      <c r="B32" s="33" t="s">
        <v>230</v>
      </c>
    </row>
    <row r="34" spans="2:13" ht="17.25" customHeight="1">
      <c r="C34" s="68" t="b">
        <v>1</v>
      </c>
    </row>
    <row r="36" spans="2:13" ht="11.25">
      <c r="C36" s="34" t="s">
        <v>231</v>
      </c>
    </row>
    <row r="38" spans="2:13">
      <c r="D38" s="73" t="str">
        <f>D45</f>
        <v>Total Sensitivities:</v>
      </c>
      <c r="I38" s="75">
        <f>Sens_Chks_Ttl_Areas</f>
        <v>0</v>
      </c>
    </row>
    <row r="39" spans="2:13">
      <c r="D39" s="76" t="s">
        <v>232</v>
      </c>
      <c r="I39" s="77" t="str">
        <f>IF(OR(NOT(CB_Sens_Chks_Show_Msg),Sens_Chks_Ttl_Areas=0),"",IF(Sens_Chks_Ttl_Areas=1," (Sensitivity in "&amp;INDEX(CA_Sens_Chks_Area_Names,MATCH(1,CA_Sens_Chks_Flags,0))&amp;")"," ("&amp;TEXT(Sens_Chks_Ttl_Areas,"#,##0")&amp;" Sensitivities Detected)"))</f>
        <v/>
      </c>
    </row>
    <row r="41" spans="2:13" ht="11.25">
      <c r="C41" s="34" t="s">
        <v>230</v>
      </c>
    </row>
    <row r="43" spans="2:13">
      <c r="D43" s="69" t="s">
        <v>230</v>
      </c>
      <c r="E43" s="18"/>
      <c r="F43" s="18"/>
      <c r="G43" s="18"/>
      <c r="H43" s="18"/>
      <c r="I43" s="18"/>
      <c r="J43" s="18"/>
      <c r="K43" s="70" t="s">
        <v>227</v>
      </c>
      <c r="L43" s="70" t="s">
        <v>228</v>
      </c>
      <c r="M43" s="70" t="s">
        <v>388</v>
      </c>
    </row>
    <row r="44" spans="2:13">
      <c r="D44" s="16"/>
    </row>
    <row r="45" spans="2:13">
      <c r="D45" s="26" t="s">
        <v>390</v>
      </c>
      <c r="M45" s="72">
        <f>SUMIF(CA_Sens_Chks_Inc,"Yes",CA_Sens_Chks_Flags)</f>
        <v>0</v>
      </c>
    </row>
    <row r="48" spans="2:13" ht="12.75">
      <c r="B48" s="33" t="s">
        <v>233</v>
      </c>
    </row>
    <row r="50" spans="3:13" ht="17.25" customHeight="1">
      <c r="C50" s="68" t="b">
        <v>1</v>
      </c>
    </row>
    <row r="52" spans="3:13" ht="11.25">
      <c r="C52" s="34" t="s">
        <v>234</v>
      </c>
    </row>
    <row r="54" spans="3:13">
      <c r="D54" s="73" t="str">
        <f>D66</f>
        <v>Total Alerts:</v>
      </c>
      <c r="I54" s="75">
        <f ca="1">Alt_Chks_Ttl_Areas</f>
        <v>0</v>
      </c>
    </row>
    <row r="55" spans="3:13">
      <c r="D55" s="76" t="s">
        <v>235</v>
      </c>
      <c r="I55" s="77" t="str">
        <f ca="1">IF(OR(NOT(CB_Alt_Chks_Show_Msg),Alt_Chks_Ttl_Areas=0),"",IF(Alt_Chks_Ttl_Areas=1," (Alert in "&amp;INDEX(CA_Alt_Chks_Area_Names,MATCH(1,CA_Alt_Chks_Flags,0))&amp;")"," ("&amp;TEXT(Alt_Chks_Ttl_Areas,"#,##0")&amp;" Alerts Detected)"))</f>
        <v/>
      </c>
    </row>
    <row r="57" spans="3:13" ht="11.25">
      <c r="C57" s="34" t="s">
        <v>233</v>
      </c>
    </row>
    <row r="59" spans="3:13">
      <c r="D59" s="69" t="s">
        <v>233</v>
      </c>
      <c r="E59" s="18"/>
      <c r="F59" s="18"/>
      <c r="G59" s="18"/>
      <c r="H59" s="18"/>
      <c r="I59" s="18"/>
      <c r="J59" s="18"/>
      <c r="K59" s="70" t="s">
        <v>227</v>
      </c>
      <c r="L59" s="70" t="s">
        <v>228</v>
      </c>
      <c r="M59" s="70" t="s">
        <v>388</v>
      </c>
    </row>
    <row r="60" spans="3:13" s="16" customFormat="1">
      <c r="D60" s="78"/>
      <c r="E60" s="22"/>
      <c r="F60" s="22"/>
      <c r="G60" s="22"/>
      <c r="H60" s="22"/>
      <c r="I60" s="22"/>
      <c r="J60" s="22"/>
      <c r="K60" s="79"/>
      <c r="L60" s="79"/>
      <c r="M60" s="79"/>
    </row>
    <row r="61" spans="3:13">
      <c r="D61" s="266" t="str">
        <f>IF(ISERROR(Alt_Chk_1_Hdg),"Miscellaneous Check",Alt_Chk_1_Hdg)</f>
        <v>Balance Sheet - Historical Assumptions</v>
      </c>
      <c r="E61" s="9"/>
      <c r="F61" s="9"/>
      <c r="G61" s="9"/>
      <c r="H61" s="9"/>
      <c r="I61" s="9"/>
      <c r="J61" s="9"/>
      <c r="K61" s="74">
        <f>IF(ISERROR(HL_Alt_Chk_1),1,(HL_Alt_Chk_1&lt;&gt;0)*1)</f>
        <v>0</v>
      </c>
      <c r="L61" s="67" t="s">
        <v>86</v>
      </c>
      <c r="M61" s="71">
        <f>K61*(L61="Yes")</f>
        <v>0</v>
      </c>
    </row>
    <row r="62" spans="3:13" s="16" customFormat="1">
      <c r="D62" s="266" t="str">
        <f>IF(ISERROR(Alt_Chk_2_Hdg),"Miscellaneous Check",Alt_Chk_2_Hdg)</f>
        <v>Balance Sheet - Historical Outputs</v>
      </c>
      <c r="E62" s="9"/>
      <c r="F62" s="9"/>
      <c r="G62" s="9"/>
      <c r="H62" s="9"/>
      <c r="I62" s="9"/>
      <c r="J62" s="9"/>
      <c r="K62" s="74">
        <f>IF(ISERROR(HL_Alt_Chk_2),1,(HL_Alt_Chk_2&lt;&gt;0)*1)</f>
        <v>0</v>
      </c>
      <c r="L62" s="67" t="s">
        <v>86</v>
      </c>
      <c r="M62" s="71">
        <f>K62*(L62="Yes")</f>
        <v>0</v>
      </c>
    </row>
    <row r="63" spans="3:13" s="16" customFormat="1">
      <c r="D63" s="266" t="str">
        <f>IF(ISERROR(Alt_Chk_15_Hdg),"Miscellaneous Check",Alt_Chk_15_Hdg)</f>
        <v>Ordinary Equity - Outputs</v>
      </c>
      <c r="E63" s="9"/>
      <c r="F63" s="9"/>
      <c r="G63" s="9"/>
      <c r="H63" s="9"/>
      <c r="I63" s="9"/>
      <c r="J63" s="9"/>
      <c r="K63" s="74">
        <f ca="1">IF(ISERROR(HL_Alt_Chk_15),1,(HL_Alt_Chk_15&lt;&gt;0)*1)</f>
        <v>0</v>
      </c>
      <c r="L63" s="67" t="s">
        <v>86</v>
      </c>
      <c r="M63" s="71">
        <f ca="1">K63*(L63="Yes")</f>
        <v>0</v>
      </c>
    </row>
    <row r="64" spans="3:13" s="16" customFormat="1">
      <c r="D64" s="266" t="str">
        <f>IF(ISERROR(Alt_Chk_14_Hdg),"Miscellaneous Check",Alt_Chk_14_Hdg)</f>
        <v>Balance Sheet - Forecast Outputs</v>
      </c>
      <c r="E64" s="9"/>
      <c r="F64" s="9"/>
      <c r="G64" s="9"/>
      <c r="H64" s="9"/>
      <c r="I64" s="9"/>
      <c r="J64" s="9"/>
      <c r="K64" s="74">
        <f ca="1">IF(ISERROR(HL_Alt_Chk_14),1,(HL_Alt_Chk_14&lt;&gt;0)*1)</f>
        <v>0</v>
      </c>
      <c r="L64" s="67" t="s">
        <v>86</v>
      </c>
      <c r="M64" s="71">
        <f ca="1">K64*(L64="Yes")</f>
        <v>0</v>
      </c>
    </row>
    <row r="65" spans="4:13" s="16" customFormat="1"/>
    <row r="66" spans="4:13">
      <c r="D66" s="26" t="s">
        <v>391</v>
      </c>
      <c r="M66" s="72">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517</v>
      </c>
    </row>
    <row r="11" spans="3:7" ht="15">
      <c r="C11" s="2" t="str">
        <f ca="1">Model_Name</f>
        <v>SMA 2. Workbook Structure - Best Practice Model Example</v>
      </c>
    </row>
    <row r="12" spans="3:7">
      <c r="C12" s="279" t="s">
        <v>48</v>
      </c>
      <c r="D12" s="279"/>
      <c r="E12" s="279"/>
      <c r="F12" s="279"/>
      <c r="G12" s="279"/>
    </row>
    <row r="13" spans="3:7" ht="12.75">
      <c r="C13" s="12" t="s">
        <v>53</v>
      </c>
      <c r="D13" s="13" t="s">
        <v>102</v>
      </c>
    </row>
    <row r="17" spans="3:3">
      <c r="C17" s="26" t="s">
        <v>462</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331</v>
      </c>
    </row>
    <row r="2" spans="1:6" ht="15">
      <c r="B2" s="2" t="str">
        <f ca="1">Model_Name</f>
        <v>SMA 2. Workbook Structure - Best Practice Model Example</v>
      </c>
    </row>
    <row r="3" spans="1:6">
      <c r="B3" s="279" t="s">
        <v>48</v>
      </c>
      <c r="C3" s="279"/>
      <c r="D3" s="279"/>
    </row>
    <row r="4" spans="1:6" ht="12.75">
      <c r="A4" s="11" t="s">
        <v>51</v>
      </c>
      <c r="B4" s="12" t="s">
        <v>53</v>
      </c>
      <c r="C4" s="13" t="s">
        <v>102</v>
      </c>
    </row>
    <row r="7" spans="1:6" ht="12.75">
      <c r="B7" s="33" t="s">
        <v>331</v>
      </c>
    </row>
    <row r="9" spans="1:6" ht="11.25">
      <c r="C9" s="34" t="s">
        <v>332</v>
      </c>
      <c r="F9" s="34" t="s">
        <v>330</v>
      </c>
    </row>
    <row r="11" spans="1:6">
      <c r="D11" s="38" t="s">
        <v>332</v>
      </c>
      <c r="F11" s="27" t="s">
        <v>333</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334</v>
      </c>
      <c r="F44" s="34" t="s">
        <v>330</v>
      </c>
    </row>
    <row r="46" spans="3:6">
      <c r="D46" s="38" t="s">
        <v>334</v>
      </c>
      <c r="F46" s="27" t="s">
        <v>335</v>
      </c>
    </row>
    <row r="47" spans="3:6">
      <c r="D47" s="39" t="s">
        <v>56</v>
      </c>
    </row>
    <row r="48" spans="3:6">
      <c r="D48" s="39" t="s">
        <v>57</v>
      </c>
    </row>
    <row r="49" spans="3:6">
      <c r="D49" s="39" t="s">
        <v>58</v>
      </c>
    </row>
    <row r="50" spans="3:6">
      <c r="D50" s="39" t="s">
        <v>59</v>
      </c>
    </row>
    <row r="51" spans="3:6">
      <c r="D51" s="39" t="s">
        <v>60</v>
      </c>
    </row>
    <row r="52" spans="3:6">
      <c r="D52" s="39" t="s">
        <v>61</v>
      </c>
    </row>
    <row r="53" spans="3:6">
      <c r="D53" s="39" t="s">
        <v>62</v>
      </c>
    </row>
    <row r="54" spans="3:6">
      <c r="D54" s="39" t="s">
        <v>63</v>
      </c>
    </row>
    <row r="55" spans="3:6">
      <c r="D55" s="39" t="s">
        <v>64</v>
      </c>
    </row>
    <row r="56" spans="3:6">
      <c r="D56" s="39" t="s">
        <v>65</v>
      </c>
    </row>
    <row r="57" spans="3:6">
      <c r="D57" s="39" t="s">
        <v>66</v>
      </c>
    </row>
    <row r="58" spans="3:6">
      <c r="D58" s="39" t="s">
        <v>67</v>
      </c>
    </row>
    <row r="60" spans="3:6" ht="11.25">
      <c r="C60" s="34" t="s">
        <v>87</v>
      </c>
      <c r="F60" s="34" t="s">
        <v>330</v>
      </c>
    </row>
    <row r="62" spans="3:6">
      <c r="D62" s="38" t="s">
        <v>87</v>
      </c>
      <c r="F62" s="27" t="s">
        <v>88</v>
      </c>
    </row>
    <row r="63" spans="3:6">
      <c r="D63" s="39" t="s">
        <v>89</v>
      </c>
      <c r="F63" s="27" t="s">
        <v>90</v>
      </c>
    </row>
    <row r="64" spans="3:6">
      <c r="D64" s="39" t="s">
        <v>91</v>
      </c>
      <c r="F64" s="27" t="s">
        <v>92</v>
      </c>
    </row>
    <row r="65" spans="3:6">
      <c r="D65" s="39" t="s">
        <v>93</v>
      </c>
      <c r="F65" s="27" t="s">
        <v>94</v>
      </c>
    </row>
    <row r="66" spans="3:6">
      <c r="D66" s="39" t="s">
        <v>95</v>
      </c>
      <c r="F66" s="27" t="s">
        <v>96</v>
      </c>
    </row>
    <row r="68" spans="3:6" ht="11.25">
      <c r="C68" s="34" t="s">
        <v>336</v>
      </c>
      <c r="F68" s="34" t="s">
        <v>330</v>
      </c>
    </row>
    <row r="70" spans="3:6">
      <c r="D70" s="38" t="s">
        <v>336</v>
      </c>
      <c r="F70" s="27" t="s">
        <v>337</v>
      </c>
    </row>
    <row r="71" spans="3:6">
      <c r="D71" s="39" t="s">
        <v>338</v>
      </c>
    </row>
    <row r="72" spans="3:6">
      <c r="D72" s="39" t="s">
        <v>339</v>
      </c>
    </row>
    <row r="74" spans="3:6" ht="11.25">
      <c r="C74" s="34" t="s">
        <v>340</v>
      </c>
      <c r="F74" s="34" t="s">
        <v>330</v>
      </c>
    </row>
    <row r="76" spans="3:6">
      <c r="D76" s="38" t="s">
        <v>340</v>
      </c>
      <c r="F76" s="27" t="s">
        <v>341</v>
      </c>
    </row>
    <row r="77" spans="3:6">
      <c r="D77" s="39" t="s">
        <v>70</v>
      </c>
      <c r="F77" s="27" t="s">
        <v>70</v>
      </c>
    </row>
    <row r="78" spans="3:6">
      <c r="D78" s="39" t="s">
        <v>71</v>
      </c>
      <c r="F78" s="27" t="s">
        <v>342</v>
      </c>
    </row>
    <row r="79" spans="3:6">
      <c r="D79" s="39" t="s">
        <v>72</v>
      </c>
      <c r="F79" s="27" t="s">
        <v>73</v>
      </c>
    </row>
    <row r="80" spans="3:6">
      <c r="D80" s="39" t="s">
        <v>74</v>
      </c>
      <c r="F80" s="27" t="s">
        <v>75</v>
      </c>
    </row>
    <row r="82" spans="3:6" ht="11.25">
      <c r="C82" s="34" t="s">
        <v>343</v>
      </c>
      <c r="F82" s="34" t="s">
        <v>330</v>
      </c>
    </row>
    <row r="84" spans="3:6">
      <c r="D84" s="38" t="s">
        <v>343</v>
      </c>
      <c r="F84" s="27" t="s">
        <v>344</v>
      </c>
    </row>
    <row r="85" spans="3:6">
      <c r="D85" s="39" t="s">
        <v>76</v>
      </c>
      <c r="F85" s="27" t="s">
        <v>77</v>
      </c>
    </row>
    <row r="86" spans="3:6">
      <c r="D86" s="39" t="s">
        <v>69</v>
      </c>
      <c r="F86" s="27" t="s">
        <v>78</v>
      </c>
    </row>
    <row r="87" spans="3:6">
      <c r="D87" s="39" t="s">
        <v>68</v>
      </c>
      <c r="F87" s="27" t="s">
        <v>79</v>
      </c>
    </row>
    <row r="88" spans="3:6">
      <c r="D88" s="39" t="s">
        <v>55</v>
      </c>
      <c r="F88" s="27" t="s">
        <v>80</v>
      </c>
    </row>
    <row r="90" spans="3:6" ht="11.25">
      <c r="C90" s="34" t="s">
        <v>345</v>
      </c>
      <c r="F90" s="34" t="s">
        <v>330</v>
      </c>
    </row>
    <row r="92" spans="3:6">
      <c r="D92" s="38" t="s">
        <v>345</v>
      </c>
      <c r="F92" s="27" t="s">
        <v>81</v>
      </c>
    </row>
    <row r="93" spans="3:6">
      <c r="D93" s="40">
        <v>1</v>
      </c>
      <c r="F93" s="27" t="s">
        <v>82</v>
      </c>
    </row>
    <row r="94" spans="3:6">
      <c r="D94" s="40">
        <v>2</v>
      </c>
      <c r="F94" s="27" t="s">
        <v>83</v>
      </c>
    </row>
    <row r="95" spans="3:6">
      <c r="D95" s="40">
        <v>4</v>
      </c>
      <c r="F95" s="27" t="s">
        <v>84</v>
      </c>
    </row>
    <row r="96" spans="3:6">
      <c r="D96" s="40">
        <v>12</v>
      </c>
      <c r="F96" s="27" t="s">
        <v>85</v>
      </c>
    </row>
    <row r="98" spans="3:6" ht="11.25">
      <c r="C98" s="34" t="s">
        <v>346</v>
      </c>
      <c r="F98" s="34" t="s">
        <v>330</v>
      </c>
    </row>
    <row r="100" spans="3:6">
      <c r="D100" s="38" t="s">
        <v>346</v>
      </c>
    </row>
    <row r="101" spans="3:6">
      <c r="D101" s="40">
        <v>10</v>
      </c>
      <c r="F101" s="27" t="s">
        <v>97</v>
      </c>
    </row>
    <row r="102" spans="3:6">
      <c r="D102" s="40">
        <v>100</v>
      </c>
      <c r="F102" s="27" t="s">
        <v>98</v>
      </c>
    </row>
    <row r="103" spans="3:6">
      <c r="D103" s="40">
        <v>1000</v>
      </c>
      <c r="F103" s="27" t="s">
        <v>99</v>
      </c>
    </row>
    <row r="104" spans="3:6">
      <c r="D104" s="40">
        <v>1000000</v>
      </c>
      <c r="F104" s="27" t="s">
        <v>100</v>
      </c>
    </row>
    <row r="105" spans="3:6">
      <c r="D105" s="40">
        <v>1000000000</v>
      </c>
      <c r="F105" s="27"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pane="topRight"/>
      <selection pane="bottomLeft"/>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395</v>
      </c>
    </row>
    <row r="2" spans="1:6" ht="15">
      <c r="B2" s="2" t="str">
        <f ca="1">Model_Name</f>
        <v>SMA 2. Workbook Structure - Best Practice Model Example</v>
      </c>
    </row>
    <row r="3" spans="1:6">
      <c r="B3" s="279" t="s">
        <v>48</v>
      </c>
      <c r="C3" s="279"/>
      <c r="D3" s="279"/>
    </row>
    <row r="4" spans="1:6" ht="12.75">
      <c r="A4" s="11" t="s">
        <v>51</v>
      </c>
      <c r="B4" s="12" t="s">
        <v>53</v>
      </c>
      <c r="C4" s="13" t="s">
        <v>102</v>
      </c>
    </row>
    <row r="7" spans="1:6" s="16" customFormat="1" ht="12.75">
      <c r="B7" s="100" t="str">
        <f>B1</f>
        <v>Capital - Lookup Tables</v>
      </c>
    </row>
    <row r="8" spans="1:6" s="16" customFormat="1"/>
    <row r="9" spans="1:6" s="16" customFormat="1" ht="11.25">
      <c r="C9" s="94" t="s">
        <v>259</v>
      </c>
      <c r="F9" s="94" t="s">
        <v>54</v>
      </c>
    </row>
    <row r="10" spans="1:6" s="16" customFormat="1"/>
    <row r="11" spans="1:6" s="16" customFormat="1">
      <c r="D11" s="103" t="s">
        <v>260</v>
      </c>
      <c r="F11" s="6" t="s">
        <v>261</v>
      </c>
    </row>
    <row r="12" spans="1:6" s="16" customFormat="1">
      <c r="D12" s="104" t="s">
        <v>262</v>
      </c>
    </row>
    <row r="13" spans="1:6" s="16" customFormat="1">
      <c r="D13" s="104"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pane="topRight"/>
      <selection pane="bottomLeft"/>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444</v>
      </c>
    </row>
    <row r="2" spans="1:6" ht="15">
      <c r="B2" s="2" t="str">
        <f ca="1">Model_Name</f>
        <v>SMA 2. Workbook Structure - Best Practice Model Example</v>
      </c>
    </row>
    <row r="3" spans="1:6">
      <c r="B3" s="279" t="s">
        <v>48</v>
      </c>
      <c r="C3" s="279"/>
      <c r="D3" s="279"/>
    </row>
    <row r="4" spans="1:6" ht="12.75">
      <c r="A4" s="11" t="s">
        <v>51</v>
      </c>
      <c r="B4" s="12" t="s">
        <v>53</v>
      </c>
    </row>
    <row r="7" spans="1:6" ht="12.75">
      <c r="B7" s="33" t="s">
        <v>447</v>
      </c>
    </row>
    <row r="9" spans="1:6" ht="11.25">
      <c r="C9" s="34" t="s">
        <v>446</v>
      </c>
      <c r="F9" s="34" t="s">
        <v>330</v>
      </c>
    </row>
    <row r="11" spans="1:6">
      <c r="D11" s="38" t="s">
        <v>445</v>
      </c>
      <c r="F11" s="113" t="s">
        <v>448</v>
      </c>
    </row>
    <row r="12" spans="1:6">
      <c r="D12" s="160" t="str">
        <f>IF(TS_Periodicity=Annual,IS_All_TO!J$7,IS_All_TO!J$6)</f>
        <v xml:space="preserve">2010 (A) </v>
      </c>
      <c r="F12" s="113"/>
    </row>
    <row r="13" spans="1:6">
      <c r="D13" s="160" t="str">
        <f>IF(TS_Periodicity=Annual,IS_All_TO!K$7,IS_All_TO!K$6)</f>
        <v xml:space="preserve">2011 (A) </v>
      </c>
      <c r="F13" s="113"/>
    </row>
    <row r="14" spans="1:6">
      <c r="D14" s="160" t="str">
        <f>IF(TS_Periodicity=Annual,IS_All_TO!L$7,IS_All_TO!L$6)</f>
        <v xml:space="preserve">2012 (A) </v>
      </c>
      <c r="F14" s="113"/>
    </row>
    <row r="15" spans="1:6">
      <c r="D15" s="160" t="str">
        <f>IF(TS_Periodicity=Annual,IS_All_TO!M$7,IS_All_TO!M$6)</f>
        <v xml:space="preserve">2013 (F) </v>
      </c>
      <c r="F15" s="113"/>
    </row>
    <row r="16" spans="1:6">
      <c r="D16" s="160" t="str">
        <f>IF(TS_Periodicity=Annual,IS_All_TO!N$7,IS_All_TO!N$6)</f>
        <v xml:space="preserve">2014 (F) </v>
      </c>
      <c r="F16" s="113"/>
    </row>
    <row r="17" spans="4:6">
      <c r="D17" s="160" t="str">
        <f>IF(TS_Periodicity=Annual,IS_All_TO!O$7,IS_All_TO!O$6)</f>
        <v xml:space="preserve">2015 (F) </v>
      </c>
      <c r="F17" s="113"/>
    </row>
    <row r="18" spans="4:6">
      <c r="D18" s="160" t="str">
        <f>IF(TS_Periodicity=Annual,IS_All_TO!P$7,IS_All_TO!P$6)</f>
        <v xml:space="preserve">2016 (F) </v>
      </c>
      <c r="F18" s="113"/>
    </row>
    <row r="19" spans="4:6">
      <c r="D19" s="160" t="str">
        <f>IF(TS_Periodicity=Annual,IS_All_TO!Q$7,IS_All_TO!Q$6)</f>
        <v xml:space="preserve">2017 (F) </v>
      </c>
      <c r="F19" s="113"/>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180</vt:i4>
      </vt:variant>
    </vt:vector>
  </HeadingPairs>
  <TitlesOfParts>
    <vt:vector size="219"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Alt_Chk_1_Hdg</vt:lpstr>
      <vt:lpstr>Alt_Chk_11_Hdg</vt:lpstr>
      <vt:lpstr>Alt_Chk_12_Hdg</vt:lpstr>
      <vt:lpstr>Alt_Chk_14_Hdg</vt:lpstr>
      <vt:lpstr>Alt_Chk_15_Hdg</vt:lpstr>
      <vt:lpstr>Alt_Chk_2_Hdg</vt:lpstr>
      <vt:lpstr>Alt_Chk_4_Hdg</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Err_Chk_10_Hdg</vt:lpstr>
      <vt:lpstr>Err_Chk_11_Hdg</vt:lpstr>
      <vt:lpstr>Err_Chk_13_Hdg</vt:lpstr>
      <vt:lpstr>Err_Chk_14_Hdg</vt:lpstr>
      <vt:lpstr>Err_Chk_15_Hdg</vt:lpstr>
      <vt:lpstr>Err_Chks_Msg</vt:lpstr>
      <vt:lpstr>Err_Chks_Ttl_Areas</vt:lpstr>
      <vt:lpstr>Half_Yr_Name</vt:lpstr>
      <vt:lpstr>Halves_In_Yr</vt:lpstr>
      <vt:lpstr>HL_Alt_Chk</vt:lpstr>
      <vt:lpstr>HL_Alt_Chk_1</vt:lpstr>
      <vt:lpstr>HL_Alt_Chk_14</vt:lpstr>
      <vt:lpstr>HL_Alt_Chk_15</vt:lpstr>
      <vt:lpstr>HL_Alt_Chk_2</vt:lpstr>
      <vt:lpstr>HL_Err_Chk</vt:lpstr>
      <vt:lpstr>HL_Err_Chk_11</vt:lpstr>
      <vt:lpstr>HL_Err_Chk_13</vt:lpstr>
      <vt:lpstr>HL_Err_Chk_14</vt:lpstr>
      <vt:lpstr>HL_Err_Chk_15</vt:lpstr>
      <vt:lpstr>HL_Err_Chk_16</vt:lpstr>
      <vt:lpstr>HL_Err_Chk_7</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2010-06-11T07:50:40Z</cp:lastPrinted>
  <dcterms:created xsi:type="dcterms:W3CDTF">2006-03-09T22:44:34Z</dcterms:created>
  <dcterms:modified xsi:type="dcterms:W3CDTF">2010-12-21T06:13:44Z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